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" sheetId="1" state="visible" r:id="rId2"/>
    <sheet name="Анализ" sheetId="2" state="hidden" r:id="rId3"/>
    <sheet name="Стоимость" sheetId="3" state="hidden" r:id="rId4"/>
    <sheet name="ЗП осн перс" sheetId="4" state="hidden" r:id="rId5"/>
    <sheet name="МЗ" sheetId="5" state="hidden" r:id="rId6"/>
    <sheet name="ЗП сод перс" sheetId="6" state="hidden" r:id="rId7"/>
  </sheets>
  <externalReferences>
    <externalReference r:id="rId8"/>
  </externalReferences>
  <definedNames>
    <definedName function="false" hidden="false" localSheetId="3" name="_xlnm.Print_Area" vbProcedure="false">'ЗП осн перс'!$A$1:$N$11</definedName>
    <definedName function="false" hidden="false" localSheetId="5" name="_xlnm.Print_Area" vbProcedure="false">'ЗП сод перс'!$A$1:$K$22</definedName>
    <definedName function="false" hidden="false" localSheetId="4" name="_xlnm.Print_Area" vbProcedure="false">МЗ!$A$1:$E$19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<sst xmlns="http://schemas.openxmlformats.org/spreadsheetml/2006/main" count="280" uniqueCount="228">
  <si>
    <t xml:space="preserve">Утверждено </t>
  </si>
  <si>
    <t xml:space="preserve">приказом ГАУЗ РА "МИАЦ МЗРА" </t>
  </si>
  <si>
    <t xml:space="preserve">№ _______от ____  ____ 202___ г. </t>
  </si>
  <si>
    <t xml:space="preserve">Прейскурант платных немедицинских услуг Государственного автономного учреждения здравоохранения Республики Адыгея "Медицинский информационно-аналитический центр Министерства здравоохранения Республики Адыгея"</t>
  </si>
  <si>
    <t xml:space="preserve">№ п/п</t>
  </si>
  <si>
    <t xml:space="preserve">Наименование платных немедицинских услуг (работ)</t>
  </si>
  <si>
    <t xml:space="preserve">Цена в мес. 2024 год</t>
  </si>
  <si>
    <t xml:space="preserve">Цена в мес. 2025 год</t>
  </si>
  <si>
    <t xml:space="preserve">1.      </t>
  </si>
  <si>
    <t xml:space="preserve">Создание сайта Пакет "Стандарт"</t>
  </si>
  <si>
    <t xml:space="preserve">2.      </t>
  </si>
  <si>
    <t xml:space="preserve">Создание сайта Пакет "Бизнес"</t>
  </si>
  <si>
    <t xml:space="preserve">3.      </t>
  </si>
  <si>
    <t xml:space="preserve">Администрирование сайта (1год)</t>
  </si>
  <si>
    <t xml:space="preserve">4.      </t>
  </si>
  <si>
    <t xml:space="preserve">Выполнение работ по организационно-консультативному и методическому обеспечению формирования и ведения регионального сегмента Национального радиационно-эпидемиологического регистра (НРЭР) по Республике Адыгея</t>
  </si>
  <si>
    <t xml:space="preserve">5.      </t>
  </si>
  <si>
    <t xml:space="preserve">Оказание услуг контакт центра для клиентов с количеством обращений от 1 - 1000</t>
  </si>
  <si>
    <t xml:space="preserve">6.      </t>
  </si>
  <si>
    <t xml:space="preserve">Оказание услуг контакт центра для клиентов с количеством обращений от 1001 - 2000</t>
  </si>
  <si>
    <t xml:space="preserve">7.      </t>
  </si>
  <si>
    <t xml:space="preserve">Оказание услуг контакт центра для клиентов с количеством обращений от 2001 - 3000</t>
  </si>
  <si>
    <t xml:space="preserve">8.      </t>
  </si>
  <si>
    <t xml:space="preserve">Оказание услуг контакт центра для клиентов с количеством обращений от 3001 - 4000</t>
  </si>
  <si>
    <t xml:space="preserve">9.      </t>
  </si>
  <si>
    <t xml:space="preserve">Оказание услуг контакт центра для клиентов с количеством обращений от 4001 - 5000</t>
  </si>
  <si>
    <t xml:space="preserve">10.             </t>
  </si>
  <si>
    <t xml:space="preserve">Оказание услуг контакт центра для клиентов с количеством обращений от 5001 - 6000</t>
  </si>
  <si>
    <t xml:space="preserve">11.             </t>
  </si>
  <si>
    <t xml:space="preserve">Оказание услуг контакт центра для клиентов с количеством обращений от 6001 - 7000</t>
  </si>
  <si>
    <t xml:space="preserve">12.             </t>
  </si>
  <si>
    <t xml:space="preserve">Оказание услуг контакт центра для клиентов с количеством обращений от 7001 - 8000</t>
  </si>
  <si>
    <t xml:space="preserve">13.             </t>
  </si>
  <si>
    <t xml:space="preserve">Оказание услуг контакт центра для клиентов с количеством обращений от 8001 - 9000</t>
  </si>
  <si>
    <t xml:space="preserve">14.             </t>
  </si>
  <si>
    <t xml:space="preserve">Оказание услуг контакт центра для клиентов с количеством обращений от 9001 - 10000</t>
  </si>
  <si>
    <t xml:space="preserve">15.             </t>
  </si>
  <si>
    <t xml:space="preserve">Оказание услуг контакт центра для клиентов с количеством обращений от 10001 - 11000</t>
  </si>
  <si>
    <t xml:space="preserve">16.             </t>
  </si>
  <si>
    <t xml:space="preserve">Оказание услуг контакт центра для клиентов с количеством обращений от 11001 - 12000</t>
  </si>
  <si>
    <t xml:space="preserve">17.             </t>
  </si>
  <si>
    <t xml:space="preserve">Оказание услуг контакт центра для клиентов с количеством обращений от 12001 - 13000</t>
  </si>
  <si>
    <t xml:space="preserve">18.             </t>
  </si>
  <si>
    <t xml:space="preserve">Оказание услуг контакт центра для клиентов с количеством обращений от 13001 - 14000</t>
  </si>
  <si>
    <t xml:space="preserve">19.             </t>
  </si>
  <si>
    <t xml:space="preserve">Оказание услуг контакт центра для клиентов с количеством обращений от 14001 - 15000</t>
  </si>
  <si>
    <t xml:space="preserve">20.             </t>
  </si>
  <si>
    <t xml:space="preserve">Оказание услуг контакт центра для клиентов с количеством обращений от 15001 - 16000</t>
  </si>
  <si>
    <t xml:space="preserve">21.             </t>
  </si>
  <si>
    <t xml:space="preserve">Оказание услуг контакт центра для клиентов с количеством обращений от 16001 – 17000</t>
  </si>
  <si>
    <t xml:space="preserve">22.             </t>
  </si>
  <si>
    <t xml:space="preserve">Оказание услуг контакт центра для клиентов с количеством обращений от 17001 – 18000</t>
  </si>
  <si>
    <t xml:space="preserve">23.             </t>
  </si>
  <si>
    <t xml:space="preserve">Оказание услуг контакт центра для клиентов с количеством обращений от 18001 – 19000</t>
  </si>
  <si>
    <t xml:space="preserve">24.             </t>
  </si>
  <si>
    <t xml:space="preserve">Оказание услуг контакт центра для клиентов с количеством обращений от 19001 – 20000</t>
  </si>
  <si>
    <t xml:space="preserve">25.             </t>
  </si>
  <si>
    <t xml:space="preserve">Оказание услуг контакт центра для клиентов с количеством обращений от 20001 – 21000</t>
  </si>
  <si>
    <t xml:space="preserve">26.             </t>
  </si>
  <si>
    <t xml:space="preserve">Оказание услуг контакт центра для клиентов с количеством обращений от 21001 – 22000</t>
  </si>
  <si>
    <t xml:space="preserve">27.             </t>
  </si>
  <si>
    <t xml:space="preserve">Оказание услуг контакт центра для клиентов с количеством обращений от 22001 – 23000</t>
  </si>
  <si>
    <t xml:space="preserve">28.             </t>
  </si>
  <si>
    <t xml:space="preserve">Оказание услуг контакт центра для клиентов с количеством обращений от 23001 – 24000</t>
  </si>
  <si>
    <t xml:space="preserve">29.             </t>
  </si>
  <si>
    <t xml:space="preserve">Оказание услуг контакт центра для клиентов с количеством обращений от 24001 – 25000</t>
  </si>
  <si>
    <t xml:space="preserve">30.             </t>
  </si>
  <si>
    <t xml:space="preserve">Оказание услуг контакт центра для клиентов с количеством обращений от 25001 – 26000</t>
  </si>
  <si>
    <t xml:space="preserve">31.             </t>
  </si>
  <si>
    <t xml:space="preserve">Оказание услуг контакт центра для клиентов с количеством обращений от 26001 – 27000</t>
  </si>
  <si>
    <t xml:space="preserve">32.      </t>
  </si>
  <si>
    <t xml:space="preserve">Оказание услуг контакт центра для клиентов с количеством обращений от 27001 – 28000</t>
  </si>
  <si>
    <t xml:space="preserve">33.</t>
  </si>
  <si>
    <t xml:space="preserve">Оказание услуг контакт центра для клиентов с количеством обращений от 28001 – 29000</t>
  </si>
  <si>
    <t xml:space="preserve">34.</t>
  </si>
  <si>
    <t xml:space="preserve">Оказание услуг контакт центра для клиентов с количеством обращений от 29001 – 30000</t>
  </si>
  <si>
    <t xml:space="preserve">35.</t>
  </si>
  <si>
    <t xml:space="preserve">Оказание услуг контакт центра для клиентов с количеством обращений от 30001 – 31000</t>
  </si>
  <si>
    <t xml:space="preserve">36.</t>
  </si>
  <si>
    <t xml:space="preserve">Оказание услуг контакт центра для клиентов с количеством обращений до 3000</t>
  </si>
  <si>
    <t xml:space="preserve">37.</t>
  </si>
  <si>
    <t xml:space="preserve">Оказание услуг контакт центра по информированию населения (за 1 звонок)</t>
  </si>
  <si>
    <t xml:space="preserve">Справочно</t>
  </si>
  <si>
    <t xml:space="preserve">время на обработку 1 обращения (мин.)</t>
  </si>
  <si>
    <t xml:space="preserve">количество часов в смену</t>
  </si>
  <si>
    <t xml:space="preserve">Сравнительный анализ изменения цен </t>
  </si>
  <si>
    <t xml:space="preserve">год</t>
  </si>
  <si>
    <t xml:space="preserve">месяц</t>
  </si>
  <si>
    <t xml:space="preserve">округл.мес.</t>
  </si>
  <si>
    <t xml:space="preserve">МО</t>
  </si>
  <si>
    <t xml:space="preserve">Всего число обращений в месяц в 2023 году</t>
  </si>
  <si>
    <t xml:space="preserve">Число посещений врачами на дому за 2021 г.</t>
  </si>
  <si>
    <t xml:space="preserve">Число посещений врачами на дому в мес. </t>
  </si>
  <si>
    <t xml:space="preserve">Всего число обращений в месяц в 2024 году*</t>
  </si>
  <si>
    <t xml:space="preserve">Численность операторов</t>
  </si>
  <si>
    <t xml:space="preserve">4 группа</t>
  </si>
  <si>
    <t xml:space="preserve">5 группа</t>
  </si>
  <si>
    <t xml:space="preserve">6 группа</t>
  </si>
  <si>
    <t xml:space="preserve">8 группа</t>
  </si>
  <si>
    <t xml:space="preserve">Количество случаев записи "врач-врач" **</t>
  </si>
  <si>
    <t xml:space="preserve">Количество случаев удаленной записи к врачу через "122" в 2024 году</t>
  </si>
  <si>
    <t xml:space="preserve">Сумма договора в м-ц в 2023 г</t>
  </si>
  <si>
    <t xml:space="preserve">Расчетная сумма договора в м-ц на 2024 г</t>
  </si>
  <si>
    <t xml:space="preserve">Группа по кол-ву обращений 2023 год</t>
  </si>
  <si>
    <t xml:space="preserve">Группа по кол-ву обращений</t>
  </si>
  <si>
    <t xml:space="preserve">Сумма договора в м-ц на 2024 г по группе</t>
  </si>
  <si>
    <t xml:space="preserve">% увеличения</t>
  </si>
  <si>
    <t xml:space="preserve">тыс.руб.</t>
  </si>
  <si>
    <t xml:space="preserve">ВСЕГО, в том числе:</t>
  </si>
  <si>
    <t xml:space="preserve">АРКБ</t>
  </si>
  <si>
    <t xml:space="preserve">АРДКБ</t>
  </si>
  <si>
    <t xml:space="preserve">АРККВД</t>
  </si>
  <si>
    <t xml:space="preserve">АРКОД</t>
  </si>
  <si>
    <t xml:space="preserve">МГКБ</t>
  </si>
  <si>
    <t xml:space="preserve">МГП</t>
  </si>
  <si>
    <t xml:space="preserve">Ханская п-ка</t>
  </si>
  <si>
    <t xml:space="preserve">МГДП</t>
  </si>
  <si>
    <t xml:space="preserve">АРКСП</t>
  </si>
  <si>
    <t xml:space="preserve">АРПМР</t>
  </si>
  <si>
    <t xml:space="preserve">АРЦОЗ и МП</t>
  </si>
  <si>
    <t xml:space="preserve">АМБ им К.М.Батмена</t>
  </si>
  <si>
    <t xml:space="preserve">Гиагинская ЦРБ</t>
  </si>
  <si>
    <t xml:space="preserve">Кошехабльская ЦРБ</t>
  </si>
  <si>
    <t xml:space="preserve">Тахтамукайская ЦРБ</t>
  </si>
  <si>
    <t xml:space="preserve">Шовгеновская ЦРБ</t>
  </si>
  <si>
    <t xml:space="preserve">Красногвардейская ЦРБ</t>
  </si>
  <si>
    <t xml:space="preserve">ЦРБ Майкопского р-на</t>
  </si>
  <si>
    <t xml:space="preserve">*</t>
  </si>
  <si>
    <t xml:space="preserve">программа государственных гарантий</t>
  </si>
  <si>
    <t xml:space="preserve">10 группа</t>
  </si>
  <si>
    <t xml:space="preserve">более 17001</t>
  </si>
  <si>
    <t xml:space="preserve">**</t>
  </si>
  <si>
    <t xml:space="preserve">данные медицинской статистики</t>
  </si>
  <si>
    <t xml:space="preserve">9 группа</t>
  </si>
  <si>
    <t xml:space="preserve">13001-17000</t>
  </si>
  <si>
    <t xml:space="preserve">10001-13000</t>
  </si>
  <si>
    <t xml:space="preserve">7 группа</t>
  </si>
  <si>
    <t xml:space="preserve">7001-10000</t>
  </si>
  <si>
    <t xml:space="preserve">4001-7000</t>
  </si>
  <si>
    <t xml:space="preserve">2001-4000</t>
  </si>
  <si>
    <t xml:space="preserve">1001-2000</t>
  </si>
  <si>
    <t xml:space="preserve">3 группа</t>
  </si>
  <si>
    <t xml:space="preserve">501-1000</t>
  </si>
  <si>
    <t xml:space="preserve">2 группа</t>
  </si>
  <si>
    <t xml:space="preserve">101-500</t>
  </si>
  <si>
    <t xml:space="preserve">1 группа</t>
  </si>
  <si>
    <t xml:space="preserve">1-100</t>
  </si>
  <si>
    <t xml:space="preserve">Государственное автономное учреждение здравоохранения Республики Адыгея "Медицинский информационно-аналитический центр Министерства здравоохранения Республики Адыгея"</t>
  </si>
  <si>
    <t xml:space="preserve">Расчет стоимости платных услуг на 2024 год</t>
  </si>
  <si>
    <t xml:space="preserve">Оказание услуг контакт центра для клиентов с количеством обращений (диапазон)</t>
  </si>
  <si>
    <t xml:space="preserve">руб.</t>
  </si>
  <si>
    <t xml:space="preserve">Заработная плата основных</t>
  </si>
  <si>
    <t xml:space="preserve">Начисления на ЗП</t>
  </si>
  <si>
    <t xml:space="preserve">Прямые затраты</t>
  </si>
  <si>
    <t xml:space="preserve">ЗП АУП (прямые затраты)</t>
  </si>
  <si>
    <t xml:space="preserve">Начисления на ЗП АУП (прямые затраты)</t>
  </si>
  <si>
    <t xml:space="preserve">ИТОГО расходов</t>
  </si>
  <si>
    <t xml:space="preserve">рентабельность (max 30%)</t>
  </si>
  <si>
    <t xml:space="preserve">рентабельность, сумма, руб</t>
  </si>
  <si>
    <t xml:space="preserve">ИТОГО сумма год </t>
  </si>
  <si>
    <t xml:space="preserve">Стоимость 1 звонка</t>
  </si>
  <si>
    <t xml:space="preserve">1.</t>
  </si>
  <si>
    <t xml:space="preserve">Оплата труда основного  персонала</t>
  </si>
  <si>
    <t xml:space="preserve">2025 г.</t>
  </si>
  <si>
    <t xml:space="preserve">ст.211,213</t>
  </si>
  <si>
    <t xml:space="preserve">Должность</t>
  </si>
  <si>
    <t xml:space="preserve">Должностной оклад</t>
  </si>
  <si>
    <t xml:space="preserve">Объем работы по данной должности </t>
  </si>
  <si>
    <t xml:space="preserve">Итого месячный фонд оплаты труда с учетом объемов</t>
  </si>
  <si>
    <t xml:space="preserve">размер выплаты за стаж непрерывной работы  (средний размер 5%)</t>
  </si>
  <si>
    <t xml:space="preserve">Надбавки за стаж непрерывной работы</t>
  </si>
  <si>
    <t xml:space="preserve">Премиальный фонд</t>
  </si>
  <si>
    <t xml:space="preserve">Итого месячный фонд оплаты труда </t>
  </si>
  <si>
    <t xml:space="preserve">Итого годовой фонд оплаты труда </t>
  </si>
  <si>
    <t xml:space="preserve">С учетом повышения 4% 1.10.25г</t>
  </si>
  <si>
    <t xml:space="preserve">%</t>
  </si>
  <si>
    <t xml:space="preserve">сумма, руб</t>
  </si>
  <si>
    <t xml:space="preserve">сумма</t>
  </si>
  <si>
    <t xml:space="preserve">Старший оператор контактного центра</t>
  </si>
  <si>
    <t xml:space="preserve">Оператор контактного центра</t>
  </si>
  <si>
    <t xml:space="preserve">Начисления на оплату труда </t>
  </si>
  <si>
    <t xml:space="preserve">Итого ГФОТ с начислениями</t>
  </si>
  <si>
    <t xml:space="preserve">стало</t>
  </si>
  <si>
    <t xml:space="preserve">было</t>
  </si>
  <si>
    <t xml:space="preserve">был оклад</t>
  </si>
  <si>
    <t xml:space="preserve">стал оклад</t>
  </si>
  <si>
    <t xml:space="preserve">стимулирующие</t>
  </si>
  <si>
    <t xml:space="preserve">к начислению</t>
  </si>
  <si>
    <t xml:space="preserve">2. Расчет прямых затрат</t>
  </si>
  <si>
    <t xml:space="preserve">ГАУЗ РА "МИАЦ МЗРА" (CALL-ЦЕНТР)</t>
  </si>
  <si>
    <t xml:space="preserve">КОСГУ</t>
  </si>
  <si>
    <t xml:space="preserve">Наименование показателя</t>
  </si>
  <si>
    <t xml:space="preserve">Обоснование</t>
  </si>
  <si>
    <t xml:space="preserve">Стоимость в 
месяц</t>
  </si>
  <si>
    <t xml:space="preserve">Стоимость в год, руб.</t>
  </si>
  <si>
    <t xml:space="preserve">ООО Оргтехсервис (интернет)</t>
  </si>
  <si>
    <t xml:space="preserve">ООО Медиагрант (интернет)</t>
  </si>
  <si>
    <t xml:space="preserve">Арендная плата за пользование имуществом</t>
  </si>
  <si>
    <t xml:space="preserve">Возмещение  расходов</t>
  </si>
  <si>
    <t xml:space="preserve">Оплата электроэнергии</t>
  </si>
  <si>
    <t xml:space="preserve">Техобслуживание оборудования</t>
  </si>
  <si>
    <t xml:space="preserve">Охранные услуги</t>
  </si>
  <si>
    <t xml:space="preserve">Арендная плата за пользование земельными участками</t>
  </si>
  <si>
    <t xml:space="preserve">Увеличение стоимости прочих материальных  запасов</t>
  </si>
  <si>
    <t xml:space="preserve">Хозяйственные расходы, запасные части к оргтехнике</t>
  </si>
  <si>
    <t xml:space="preserve">Увеличение стоимости прочих материальных  запасов однократного применения</t>
  </si>
  <si>
    <t xml:space="preserve">Вода питьевая 144 бут х 300,0 руб = 43200руб.</t>
  </si>
  <si>
    <t xml:space="preserve">Итого</t>
  </si>
  <si>
    <t xml:space="preserve">было </t>
  </si>
  <si>
    <t xml:space="preserve">ушли налоги</t>
  </si>
  <si>
    <t xml:space="preserve">2025 год</t>
  </si>
  <si>
    <t xml:space="preserve">3. Оплата труда АУП (прямые затраты)</t>
  </si>
  <si>
    <t xml:space="preserve">ст.211</t>
  </si>
  <si>
    <t xml:space="preserve">Должность </t>
  </si>
  <si>
    <t xml:space="preserve">объем работы по данной должности </t>
  </si>
  <si>
    <t xml:space="preserve">Итого месячный оклад с учетом объема работы по должности</t>
  </si>
  <si>
    <t xml:space="preserve">премиальный фонд (КЭ)</t>
  </si>
  <si>
    <t xml:space="preserve">Руководитель контакт - центра (начальник)</t>
  </si>
  <si>
    <t xml:space="preserve">Инженер программист </t>
  </si>
  <si>
    <t xml:space="preserve">Уборщик служебных помещений *</t>
  </si>
  <si>
    <t xml:space="preserve">Рабочий по комплексному обслуживанию и ремонту зданий</t>
  </si>
  <si>
    <t xml:space="preserve">Специалист по защите информации</t>
  </si>
  <si>
    <t xml:space="preserve">Электромонтер</t>
  </si>
  <si>
    <t xml:space="preserve">Аналитик </t>
  </si>
  <si>
    <t xml:space="preserve">Специалист по кадрам</t>
  </si>
  <si>
    <t xml:space="preserve">Экономист </t>
  </si>
  <si>
    <t xml:space="preserve">Специалист по закупкам</t>
  </si>
  <si>
    <t xml:space="preserve">не изменилось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</si>
</sst>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#,##0.00"/>
    <numFmt numFmtId="167" formatCode="0"/>
    <numFmt numFmtId="168" formatCode="General_)"/>
    <numFmt numFmtId="169" formatCode="#,##0"/>
    <numFmt numFmtId="170" formatCode="#,##0.0"/>
    <numFmt numFmtId="171" formatCode="0.00"/>
    <numFmt numFmtId="172" formatCode="_-* #,##0.00\ _₽_-;\-* #,##0.00\ _₽_-;_-* \-??\ _₽_-;_-@_-"/>
    <numFmt numFmtId="173" formatCode="_-* #,##0\ _₽_-;\-* #,##0\ _₽_-;_-* \-??\ _₽_-;_-@_-"/>
    <numFmt numFmtId="174" formatCode="0.0%"/>
    <numFmt numFmtId="175" formatCode="#,##0.0000000"/>
    <numFmt numFmtId="176" formatCode="0.0"/>
    <numFmt numFmtId="177" formatCode="0%"/>
    <numFmt numFmtId="178" formatCode="0.00%"/>
  </numFmts>
  <fonts count="3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  <family val="0"/>
      <charset val="1"/>
    </font>
    <font>
      <sz val="11"/>
      <color rgb="FF000000"/>
      <name val="Calibri"/>
      <family val="2"/>
      <charset val="204"/>
    </font>
    <font>
      <sz val="9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u val="single"/>
      <sz val="10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9"/>
      <color rgb="FF000000"/>
      <name val="Arial"/>
      <family val="2"/>
      <charset val="204"/>
    </font>
    <font>
      <b val="true"/>
      <sz val="10"/>
      <color rgb="FF000000"/>
      <name val="Arial Cyr"/>
      <family val="0"/>
      <charset val="1"/>
    </font>
    <font>
      <sz val="7"/>
      <color rgb="FF000000"/>
      <name val="Arial Cyr"/>
      <family val="0"/>
      <charset val="1"/>
    </font>
    <font>
      <b val="true"/>
      <sz val="12"/>
      <color rgb="FF000000"/>
      <name val="Arial"/>
      <family val="2"/>
      <charset val="204"/>
    </font>
    <font>
      <sz val="10"/>
      <name val="Courier New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  <font>
      <sz val="9"/>
      <name val="Tahoma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1F5F9"/>
        <bgColor rgb="FFFEF2E8"/>
      </patternFill>
    </fill>
    <fill>
      <patternFill patternType="solid">
        <fgColor rgb="FFC0C0C0"/>
        <bgColor rgb="FFBFBFBF"/>
      </patternFill>
    </fill>
    <fill>
      <patternFill patternType="solid">
        <fgColor rgb="FFFEF2E8"/>
        <bgColor rgb="FFF1F5F9"/>
      </patternFill>
    </fill>
    <fill>
      <patternFill patternType="solid">
        <fgColor rgb="FFFFFFFF"/>
        <bgColor rgb="FFF1F5F9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8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6" fillId="0" borderId="2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6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7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6" fillId="0" borderId="2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6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9" fillId="0" borderId="3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6" fillId="0" border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3" fillId="0" border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0" borderId="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3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7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3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7" fillId="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0" border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1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9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9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5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3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5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8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86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5" borderId="0" xfId="8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0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3" xfId="8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3" xfId="8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5" borderId="0" xfId="8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3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5" borderId="3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11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8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3" xfId="8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5" borderId="11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5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5" fillId="6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5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5" borderId="0" xfId="8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6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6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3" xfId="86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8" fillId="5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6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7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7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3" xfId="8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5" borderId="11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3" xfId="8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5" borderId="3" xfId="8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5" fillId="5" borderId="0" xfId="8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0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0" borderId="0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8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0" xfId="8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9" fillId="0" borderId="0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30" fillId="0" borderId="0" xfId="8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8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3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8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23" fillId="5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3" fillId="5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6" borderId="3" xfId="8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0" xfId="8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30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0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5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0" xfId="8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30" fillId="0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6" fontId="20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7" fontId="20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30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2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1" fontId="3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2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0" fillId="5" borderId="6" xfId="8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3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0" fillId="0" borderId="3" xfId="8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3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0" fillId="0" borderId="3" xfId="8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3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8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2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3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ex60" xfId="22"/>
    <cellStyle name="ex61" xfId="23"/>
    <cellStyle name="ex62" xfId="24"/>
    <cellStyle name="ex63" xfId="25"/>
    <cellStyle name="ex65" xfId="26"/>
    <cellStyle name="ex66" xfId="27"/>
    <cellStyle name="ex67" xfId="28"/>
    <cellStyle name="ex68" xfId="29"/>
    <cellStyle name="Normal" xfId="30"/>
    <cellStyle name="st50" xfId="31"/>
    <cellStyle name="st51" xfId="32"/>
    <cellStyle name="st57" xfId="33"/>
    <cellStyle name="style0" xfId="34"/>
    <cellStyle name="td" xfId="35"/>
    <cellStyle name="tr" xfId="36"/>
    <cellStyle name="xl21" xfId="37"/>
    <cellStyle name="xl22" xfId="38"/>
    <cellStyle name="xl23" xfId="39"/>
    <cellStyle name="xl24" xfId="40"/>
    <cellStyle name="xl25" xfId="41"/>
    <cellStyle name="xl26" xfId="42"/>
    <cellStyle name="xl27" xfId="43"/>
    <cellStyle name="xl28" xfId="44"/>
    <cellStyle name="xl29" xfId="45"/>
    <cellStyle name="xl30" xfId="46"/>
    <cellStyle name="xl31" xfId="47"/>
    <cellStyle name="xl32" xfId="48"/>
    <cellStyle name="xl33" xfId="49"/>
    <cellStyle name="xl34" xfId="50"/>
    <cellStyle name="xl35" xfId="51"/>
    <cellStyle name="xl36" xfId="52"/>
    <cellStyle name="xl37" xfId="53"/>
    <cellStyle name="xl38" xfId="54"/>
    <cellStyle name="xl39" xfId="55"/>
    <cellStyle name="xl40" xfId="56"/>
    <cellStyle name="xl41" xfId="57"/>
    <cellStyle name="xl42" xfId="58"/>
    <cellStyle name="xl43" xfId="59"/>
    <cellStyle name="xl44" xfId="60"/>
    <cellStyle name="xl45" xfId="61"/>
    <cellStyle name="xl46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60" xfId="76"/>
    <cellStyle name="xl61" xfId="77"/>
    <cellStyle name="xl62" xfId="78"/>
    <cellStyle name="xl63" xfId="79"/>
    <cellStyle name="xl64" xfId="80"/>
    <cellStyle name="xl65" xfId="81"/>
    <cellStyle name="xl_header" xfId="82"/>
    <cellStyle name="Обычный 2" xfId="83"/>
    <cellStyle name="Обычный 3" xfId="84"/>
    <cellStyle name="Обычный 4" xfId="85"/>
    <cellStyle name="Обычный 5" xfId="8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E8"/>
      <rgbColor rgb="FFF1F5F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Users/michailovayuy/Downloads/&#1056;&#1040;&#1057;&#1063;&#1045;&#1058;%20CALL%20&#1062;&#1045;&#1053;&#1058;&#1056;%20-%202024%20-%202%20&#1074;&#1072;&#1088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зп основ"/>
      <sheetName val="прямые затраты"/>
      <sheetName val="ЗП АУП прям затр"/>
      <sheetName val="расчет ч оператор"/>
      <sheetName val="Для договоров "/>
      <sheetName val="Новый прайс"/>
      <sheetName val="Лист1"/>
    </sheetNames>
    <sheetDataSet>
      <sheetData sheetId="0">
        <row r="7">
          <cell r="I7">
            <v>35530223.1648225</v>
          </cell>
        </row>
      </sheetData>
      <sheetData sheetId="1"/>
      <sheetData sheetId="2"/>
      <sheetData sheetId="3"/>
      <sheetData sheetId="4">
        <row r="9">
          <cell r="F9">
            <v>99646.25</v>
          </cell>
        </row>
      </sheetData>
      <sheetData sheetId="5"/>
      <sheetData sheetId="6"/>
      <sheetData sheetId="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4" activeCellId="0" sqref="B4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2" width="73.14"/>
    <col collapsed="false" customWidth="true" hidden="true" outlineLevel="0" max="3" min="3" style="2" width="21.14"/>
    <col collapsed="false" customWidth="true" hidden="true" outlineLevel="0" max="4" min="4" style="2" width="21"/>
    <col collapsed="false" customWidth="true" hidden="false" outlineLevel="0" max="5" min="5" style="2" width="24.71"/>
    <col collapsed="false" customWidth="false" hidden="false" outlineLevel="0" max="6" min="6" style="2" width="9.14"/>
    <col collapsed="false" customWidth="true" hidden="false" outlineLevel="0" max="7" min="7" style="2" width="71.42"/>
    <col collapsed="false" customWidth="false" hidden="false" outlineLevel="0" max="16384" min="8" style="2" width="9.14"/>
  </cols>
  <sheetData>
    <row r="1" customFormat="false" ht="18.75" hidden="false" customHeight="false" outlineLevel="0" collapsed="false">
      <c r="A1" s="3"/>
      <c r="E1" s="4" t="s">
        <v>0</v>
      </c>
    </row>
    <row r="2" customFormat="false" ht="33.75" hidden="false" customHeight="true" outlineLevel="0" collapsed="false">
      <c r="A2" s="3"/>
      <c r="E2" s="4" t="s">
        <v>1</v>
      </c>
    </row>
    <row r="3" customFormat="false" ht="31.5" hidden="false" customHeight="true" outlineLevel="0" collapsed="false">
      <c r="A3" s="3"/>
      <c r="E3" s="4" t="s">
        <v>2</v>
      </c>
    </row>
    <row r="4" customFormat="false" ht="31.5" hidden="false" customHeight="true" outlineLevel="0" collapsed="false">
      <c r="A4" s="3"/>
      <c r="E4" s="4"/>
    </row>
    <row r="5" customFormat="false" ht="63" hidden="false" customHeight="true" outlineLevel="0" collapsed="false">
      <c r="A5" s="5" t="s">
        <v>3</v>
      </c>
      <c r="B5" s="5"/>
      <c r="C5" s="5"/>
      <c r="D5" s="5"/>
      <c r="E5" s="5"/>
    </row>
    <row r="6" customFormat="false" ht="18.75" hidden="false" customHeight="false" outlineLevel="0" collapsed="false">
      <c r="D6" s="6"/>
      <c r="E6" s="7" t="n">
        <f aca="false">Стоимость!K7</f>
        <v>20.6510784371023</v>
      </c>
    </row>
    <row r="7" customFormat="false" ht="37.5" hidden="false" customHeight="false" outlineLevel="0" collapsed="false">
      <c r="A7" s="8" t="s">
        <v>4</v>
      </c>
      <c r="B7" s="9" t="s">
        <v>5</v>
      </c>
      <c r="C7" s="9"/>
      <c r="D7" s="10" t="s">
        <v>6</v>
      </c>
      <c r="E7" s="10" t="s">
        <v>7</v>
      </c>
    </row>
    <row r="8" customFormat="false" ht="21" hidden="false" customHeight="true" outlineLevel="0" collapsed="false">
      <c r="A8" s="11" t="s">
        <v>8</v>
      </c>
      <c r="B8" s="12" t="s">
        <v>9</v>
      </c>
      <c r="C8" s="13"/>
      <c r="D8" s="14"/>
      <c r="E8" s="15" t="n">
        <v>15600</v>
      </c>
    </row>
    <row r="9" customFormat="false" ht="21" hidden="false" customHeight="true" outlineLevel="0" collapsed="false">
      <c r="A9" s="11" t="s">
        <v>10</v>
      </c>
      <c r="B9" s="12" t="s">
        <v>11</v>
      </c>
      <c r="C9" s="13"/>
      <c r="D9" s="14"/>
      <c r="E9" s="15" t="n">
        <v>62800</v>
      </c>
    </row>
    <row r="10" customFormat="false" ht="21" hidden="false" customHeight="true" outlineLevel="0" collapsed="false">
      <c r="A10" s="11" t="s">
        <v>12</v>
      </c>
      <c r="B10" s="12" t="s">
        <v>13</v>
      </c>
      <c r="C10" s="13"/>
      <c r="D10" s="14"/>
      <c r="E10" s="15" t="n">
        <v>30000</v>
      </c>
    </row>
    <row r="11" customFormat="false" ht="93.75" hidden="false" customHeight="false" outlineLevel="0" collapsed="false">
      <c r="A11" s="11" t="s">
        <v>14</v>
      </c>
      <c r="B11" s="16" t="s">
        <v>15</v>
      </c>
      <c r="C11" s="13"/>
      <c r="D11" s="14"/>
      <c r="E11" s="15" t="n">
        <v>50000</v>
      </c>
    </row>
    <row r="12" customFormat="false" ht="37.5" hidden="false" customHeight="false" outlineLevel="0" collapsed="false">
      <c r="A12" s="11" t="s">
        <v>16</v>
      </c>
      <c r="B12" s="17" t="s">
        <v>17</v>
      </c>
      <c r="C12" s="17" t="n">
        <v>500</v>
      </c>
      <c r="D12" s="18" t="n">
        <v>8500</v>
      </c>
      <c r="E12" s="19" t="n">
        <f aca="false">C12*20.65</f>
        <v>10325</v>
      </c>
    </row>
    <row r="13" customFormat="false" ht="37.5" hidden="false" customHeight="false" outlineLevel="0" collapsed="false">
      <c r="A13" s="11" t="s">
        <v>18</v>
      </c>
      <c r="B13" s="17" t="s">
        <v>19</v>
      </c>
      <c r="C13" s="17" t="n">
        <f aca="false">C12+1000</f>
        <v>1500</v>
      </c>
      <c r="D13" s="18" t="n">
        <v>25500</v>
      </c>
      <c r="E13" s="19" t="n">
        <f aca="false">C13*20.65</f>
        <v>30975</v>
      </c>
    </row>
    <row r="14" customFormat="false" ht="37.5" hidden="false" customHeight="false" outlineLevel="0" collapsed="false">
      <c r="A14" s="11" t="s">
        <v>20</v>
      </c>
      <c r="B14" s="17" t="s">
        <v>21</v>
      </c>
      <c r="C14" s="17" t="n">
        <f aca="false">C13+1000</f>
        <v>2500</v>
      </c>
      <c r="D14" s="18" t="n">
        <v>42500</v>
      </c>
      <c r="E14" s="19" t="n">
        <f aca="false">C14*20.65</f>
        <v>51625</v>
      </c>
    </row>
    <row r="15" customFormat="false" ht="37.5" hidden="false" customHeight="false" outlineLevel="0" collapsed="false">
      <c r="A15" s="11" t="s">
        <v>22</v>
      </c>
      <c r="B15" s="17" t="s">
        <v>23</v>
      </c>
      <c r="C15" s="17" t="n">
        <f aca="false">C14+1000</f>
        <v>3500</v>
      </c>
      <c r="D15" s="18" t="n">
        <v>59600</v>
      </c>
      <c r="E15" s="19" t="n">
        <f aca="false">C15*20.65</f>
        <v>72275</v>
      </c>
    </row>
    <row r="16" customFormat="false" ht="37.5" hidden="false" customHeight="false" outlineLevel="0" collapsed="false">
      <c r="A16" s="11" t="s">
        <v>24</v>
      </c>
      <c r="B16" s="17" t="s">
        <v>25</v>
      </c>
      <c r="C16" s="17" t="n">
        <f aca="false">C15+1000</f>
        <v>4500</v>
      </c>
      <c r="D16" s="18" t="n">
        <v>76600</v>
      </c>
      <c r="E16" s="19" t="n">
        <f aca="false">C16*20.65</f>
        <v>92925</v>
      </c>
    </row>
    <row r="17" customFormat="false" ht="37.5" hidden="false" customHeight="false" outlineLevel="0" collapsed="false">
      <c r="A17" s="11" t="s">
        <v>26</v>
      </c>
      <c r="B17" s="17" t="s">
        <v>27</v>
      </c>
      <c r="C17" s="17" t="n">
        <f aca="false">C16+1000</f>
        <v>5500</v>
      </c>
      <c r="D17" s="18" t="n">
        <v>93600</v>
      </c>
      <c r="E17" s="19" t="n">
        <f aca="false">C17*20.65</f>
        <v>113575</v>
      </c>
    </row>
    <row r="18" customFormat="false" ht="37.5" hidden="false" customHeight="false" outlineLevel="0" collapsed="false">
      <c r="A18" s="11" t="s">
        <v>28</v>
      </c>
      <c r="B18" s="17" t="s">
        <v>29</v>
      </c>
      <c r="C18" s="17" t="n">
        <f aca="false">C17+1000</f>
        <v>6500</v>
      </c>
      <c r="D18" s="18" t="n">
        <v>110600</v>
      </c>
      <c r="E18" s="19" t="n">
        <f aca="false">C18*20.65</f>
        <v>134225</v>
      </c>
    </row>
    <row r="19" customFormat="false" ht="37.5" hidden="false" customHeight="false" outlineLevel="0" collapsed="false">
      <c r="A19" s="11" t="s">
        <v>30</v>
      </c>
      <c r="B19" s="17" t="s">
        <v>31</v>
      </c>
      <c r="C19" s="17" t="n">
        <f aca="false">C18+1000</f>
        <v>7500</v>
      </c>
      <c r="D19" s="18" t="n">
        <v>127600</v>
      </c>
      <c r="E19" s="19" t="n">
        <f aca="false">C19*20.65</f>
        <v>154875</v>
      </c>
    </row>
    <row r="20" customFormat="false" ht="37.5" hidden="false" customHeight="false" outlineLevel="0" collapsed="false">
      <c r="A20" s="11" t="s">
        <v>32</v>
      </c>
      <c r="B20" s="17" t="s">
        <v>33</v>
      </c>
      <c r="C20" s="17" t="n">
        <f aca="false">C19+1000</f>
        <v>8500</v>
      </c>
      <c r="D20" s="18" t="n">
        <v>144700</v>
      </c>
      <c r="E20" s="19" t="n">
        <f aca="false">C20*20.65</f>
        <v>175525</v>
      </c>
    </row>
    <row r="21" customFormat="false" ht="37.5" hidden="false" customHeight="false" outlineLevel="0" collapsed="false">
      <c r="A21" s="11" t="s">
        <v>34</v>
      </c>
      <c r="B21" s="17" t="s">
        <v>35</v>
      </c>
      <c r="C21" s="17" t="n">
        <f aca="false">C20+1000</f>
        <v>9500</v>
      </c>
      <c r="D21" s="18" t="n">
        <v>161700</v>
      </c>
      <c r="E21" s="19" t="n">
        <f aca="false">C21*20.65</f>
        <v>196175</v>
      </c>
    </row>
    <row r="22" customFormat="false" ht="37.5" hidden="false" customHeight="false" outlineLevel="0" collapsed="false">
      <c r="A22" s="11" t="s">
        <v>36</v>
      </c>
      <c r="B22" s="17" t="s">
        <v>37</v>
      </c>
      <c r="C22" s="17" t="n">
        <f aca="false">C21+1000</f>
        <v>10500</v>
      </c>
      <c r="D22" s="18" t="n">
        <v>178700</v>
      </c>
      <c r="E22" s="19" t="n">
        <f aca="false">C22*20.65</f>
        <v>216825</v>
      </c>
    </row>
    <row r="23" customFormat="false" ht="37.5" hidden="false" customHeight="false" outlineLevel="0" collapsed="false">
      <c r="A23" s="11" t="s">
        <v>38</v>
      </c>
      <c r="B23" s="17" t="s">
        <v>39</v>
      </c>
      <c r="C23" s="17" t="n">
        <f aca="false">C22+1000</f>
        <v>11500</v>
      </c>
      <c r="D23" s="18" t="n">
        <v>195700</v>
      </c>
      <c r="E23" s="19" t="n">
        <f aca="false">C23*20.65</f>
        <v>237475</v>
      </c>
    </row>
    <row r="24" customFormat="false" ht="37.5" hidden="false" customHeight="false" outlineLevel="0" collapsed="false">
      <c r="A24" s="11" t="s">
        <v>40</v>
      </c>
      <c r="B24" s="17" t="s">
        <v>41</v>
      </c>
      <c r="C24" s="17" t="n">
        <f aca="false">C23+1000</f>
        <v>12500</v>
      </c>
      <c r="D24" s="18" t="n">
        <v>212700</v>
      </c>
      <c r="E24" s="19" t="n">
        <f aca="false">C24*20.65</f>
        <v>258125</v>
      </c>
    </row>
    <row r="25" customFormat="false" ht="37.5" hidden="false" customHeight="false" outlineLevel="0" collapsed="false">
      <c r="A25" s="11" t="s">
        <v>42</v>
      </c>
      <c r="B25" s="17" t="s">
        <v>43</v>
      </c>
      <c r="C25" s="17" t="n">
        <f aca="false">C24+1000</f>
        <v>13500</v>
      </c>
      <c r="D25" s="18" t="n">
        <v>229800</v>
      </c>
      <c r="E25" s="19" t="n">
        <f aca="false">C25*20.65</f>
        <v>278775</v>
      </c>
    </row>
    <row r="26" customFormat="false" ht="37.5" hidden="false" customHeight="false" outlineLevel="0" collapsed="false">
      <c r="A26" s="11" t="s">
        <v>44</v>
      </c>
      <c r="B26" s="17" t="s">
        <v>45</v>
      </c>
      <c r="C26" s="17" t="n">
        <f aca="false">C25+1000</f>
        <v>14500</v>
      </c>
      <c r="D26" s="18" t="n">
        <v>246800</v>
      </c>
      <c r="E26" s="19" t="n">
        <f aca="false">C26*20.65</f>
        <v>299425</v>
      </c>
    </row>
    <row r="27" customFormat="false" ht="37.5" hidden="false" customHeight="false" outlineLevel="0" collapsed="false">
      <c r="A27" s="11" t="s">
        <v>46</v>
      </c>
      <c r="B27" s="17" t="s">
        <v>47</v>
      </c>
      <c r="C27" s="17" t="n">
        <f aca="false">C26+1000</f>
        <v>15500</v>
      </c>
      <c r="D27" s="20" t="n">
        <v>263800</v>
      </c>
      <c r="E27" s="19" t="n">
        <f aca="false">C27*20.65</f>
        <v>320075</v>
      </c>
    </row>
    <row r="28" customFormat="false" ht="37.5" hidden="false" customHeight="false" outlineLevel="0" collapsed="false">
      <c r="A28" s="11" t="s">
        <v>48</v>
      </c>
      <c r="B28" s="17" t="s">
        <v>49</v>
      </c>
      <c r="C28" s="17" t="n">
        <f aca="false">C27+1000</f>
        <v>16500</v>
      </c>
      <c r="D28" s="20" t="n">
        <v>280800</v>
      </c>
      <c r="E28" s="19" t="n">
        <f aca="false">C28*20.65</f>
        <v>340725</v>
      </c>
    </row>
    <row r="29" customFormat="false" ht="37.5" hidden="false" customHeight="false" outlineLevel="0" collapsed="false">
      <c r="A29" s="11" t="s">
        <v>50</v>
      </c>
      <c r="B29" s="17" t="s">
        <v>51</v>
      </c>
      <c r="C29" s="17" t="n">
        <f aca="false">C28+1000</f>
        <v>17500</v>
      </c>
      <c r="D29" s="20" t="n">
        <v>297800</v>
      </c>
      <c r="E29" s="19" t="n">
        <f aca="false">C29*20.65</f>
        <v>361375</v>
      </c>
    </row>
    <row r="30" customFormat="false" ht="37.5" hidden="false" customHeight="false" outlineLevel="0" collapsed="false">
      <c r="A30" s="11" t="s">
        <v>52</v>
      </c>
      <c r="B30" s="17" t="s">
        <v>53</v>
      </c>
      <c r="C30" s="17" t="n">
        <f aca="false">C29+1000</f>
        <v>18500</v>
      </c>
      <c r="D30" s="20" t="n">
        <v>314900</v>
      </c>
      <c r="E30" s="19" t="n">
        <f aca="false">C30*20.65</f>
        <v>382025</v>
      </c>
    </row>
    <row r="31" customFormat="false" ht="37.5" hidden="false" customHeight="false" outlineLevel="0" collapsed="false">
      <c r="A31" s="11" t="s">
        <v>54</v>
      </c>
      <c r="B31" s="17" t="s">
        <v>55</v>
      </c>
      <c r="C31" s="17" t="n">
        <f aca="false">C30+1000</f>
        <v>19500</v>
      </c>
      <c r="D31" s="18" t="n">
        <v>331900</v>
      </c>
      <c r="E31" s="19" t="n">
        <f aca="false">C31*20.65</f>
        <v>402675</v>
      </c>
    </row>
    <row r="32" customFormat="false" ht="37.5" hidden="false" customHeight="false" outlineLevel="0" collapsed="false">
      <c r="A32" s="11" t="s">
        <v>56</v>
      </c>
      <c r="B32" s="17" t="s">
        <v>57</v>
      </c>
      <c r="C32" s="17" t="n">
        <f aca="false">C31+1000</f>
        <v>20500</v>
      </c>
      <c r="D32" s="18" t="n">
        <v>348900</v>
      </c>
      <c r="E32" s="19" t="n">
        <f aca="false">C32*20.65</f>
        <v>423325</v>
      </c>
    </row>
    <row r="33" customFormat="false" ht="37.5" hidden="false" customHeight="false" outlineLevel="0" collapsed="false">
      <c r="A33" s="11" t="s">
        <v>58</v>
      </c>
      <c r="B33" s="17" t="s">
        <v>59</v>
      </c>
      <c r="C33" s="17" t="n">
        <f aca="false">C32+1000</f>
        <v>21500</v>
      </c>
      <c r="D33" s="18" t="n">
        <v>365900</v>
      </c>
      <c r="E33" s="19" t="n">
        <f aca="false">C33*20.65</f>
        <v>443975</v>
      </c>
    </row>
    <row r="34" customFormat="false" ht="37.5" hidden="false" customHeight="false" outlineLevel="0" collapsed="false">
      <c r="A34" s="11" t="s">
        <v>60</v>
      </c>
      <c r="B34" s="17" t="s">
        <v>61</v>
      </c>
      <c r="C34" s="17" t="n">
        <f aca="false">C33+1000</f>
        <v>22500</v>
      </c>
      <c r="D34" s="18" t="n">
        <v>382900</v>
      </c>
      <c r="E34" s="19" t="n">
        <f aca="false">C34*20.65</f>
        <v>464625</v>
      </c>
    </row>
    <row r="35" customFormat="false" ht="37.5" hidden="false" customHeight="false" outlineLevel="0" collapsed="false">
      <c r="A35" s="11" t="s">
        <v>62</v>
      </c>
      <c r="B35" s="17" t="s">
        <v>63</v>
      </c>
      <c r="C35" s="17" t="n">
        <f aca="false">C34+1000</f>
        <v>23500</v>
      </c>
      <c r="D35" s="18" t="n">
        <v>400000</v>
      </c>
      <c r="E35" s="19" t="n">
        <f aca="false">C35*20.65</f>
        <v>485275</v>
      </c>
    </row>
    <row r="36" customFormat="false" ht="37.5" hidden="false" customHeight="false" outlineLevel="0" collapsed="false">
      <c r="A36" s="11" t="s">
        <v>64</v>
      </c>
      <c r="B36" s="17" t="s">
        <v>65</v>
      </c>
      <c r="C36" s="17" t="n">
        <f aca="false">C35+1000</f>
        <v>24500</v>
      </c>
      <c r="D36" s="18" t="n">
        <v>417000</v>
      </c>
      <c r="E36" s="19" t="n">
        <f aca="false">C36*20.65</f>
        <v>505925</v>
      </c>
    </row>
    <row r="37" customFormat="false" ht="37.5" hidden="false" customHeight="true" outlineLevel="0" collapsed="false">
      <c r="A37" s="11" t="s">
        <v>66</v>
      </c>
      <c r="B37" s="17" t="s">
        <v>67</v>
      </c>
      <c r="C37" s="17" t="n">
        <f aca="false">C36+1000</f>
        <v>25500</v>
      </c>
      <c r="D37" s="18" t="n">
        <v>434000</v>
      </c>
      <c r="E37" s="19" t="n">
        <f aca="false">C37*20.65</f>
        <v>526575</v>
      </c>
    </row>
    <row r="38" customFormat="false" ht="37.5" hidden="false" customHeight="true" outlineLevel="0" collapsed="false">
      <c r="A38" s="11" t="s">
        <v>68</v>
      </c>
      <c r="B38" s="17" t="s">
        <v>69</v>
      </c>
      <c r="C38" s="17" t="n">
        <f aca="false">C37+1000</f>
        <v>26500</v>
      </c>
      <c r="D38" s="18" t="n">
        <v>451000</v>
      </c>
      <c r="E38" s="19" t="n">
        <f aca="false">C38*20.65</f>
        <v>547225</v>
      </c>
    </row>
    <row r="39" customFormat="false" ht="37.5" hidden="false" customHeight="true" outlineLevel="0" collapsed="false">
      <c r="A39" s="11" t="s">
        <v>70</v>
      </c>
      <c r="B39" s="17" t="s">
        <v>71</v>
      </c>
      <c r="C39" s="17" t="n">
        <f aca="false">C38+1000</f>
        <v>27500</v>
      </c>
      <c r="D39" s="18" t="n">
        <v>468000</v>
      </c>
      <c r="E39" s="19" t="n">
        <f aca="false">C39*20.65</f>
        <v>567875</v>
      </c>
    </row>
    <row r="40" customFormat="false" ht="37.5" hidden="false" customHeight="true" outlineLevel="0" collapsed="false">
      <c r="A40" s="12" t="s">
        <v>72</v>
      </c>
      <c r="B40" s="17" t="s">
        <v>73</v>
      </c>
      <c r="C40" s="17" t="n">
        <f aca="false">C39+1000</f>
        <v>28500</v>
      </c>
      <c r="D40" s="18" t="n">
        <v>485100</v>
      </c>
      <c r="E40" s="19" t="n">
        <f aca="false">C40*20.65</f>
        <v>588525</v>
      </c>
    </row>
    <row r="41" customFormat="false" ht="37.5" hidden="false" customHeight="false" outlineLevel="0" collapsed="false">
      <c r="A41" s="12" t="s">
        <v>74</v>
      </c>
      <c r="B41" s="17" t="s">
        <v>75</v>
      </c>
      <c r="C41" s="17" t="n">
        <f aca="false">C40+1000</f>
        <v>29500</v>
      </c>
      <c r="D41" s="18" t="n">
        <v>502100</v>
      </c>
      <c r="E41" s="19" t="n">
        <f aca="false">C41*20.65</f>
        <v>609175</v>
      </c>
    </row>
    <row r="42" customFormat="false" ht="37.5" hidden="false" customHeight="false" outlineLevel="0" collapsed="false">
      <c r="A42" s="12" t="s">
        <v>76</v>
      </c>
      <c r="B42" s="17" t="s">
        <v>77</v>
      </c>
      <c r="C42" s="17" t="n">
        <f aca="false">C41+1000</f>
        <v>30500</v>
      </c>
      <c r="D42" s="18" t="n">
        <v>519100</v>
      </c>
      <c r="E42" s="19" t="n">
        <f aca="false">C42*20.65</f>
        <v>629825</v>
      </c>
    </row>
    <row r="43" customFormat="false" ht="37.5" hidden="false" customHeight="false" outlineLevel="0" collapsed="false">
      <c r="A43" s="12" t="s">
        <v>78</v>
      </c>
      <c r="B43" s="17" t="s">
        <v>79</v>
      </c>
      <c r="C43" s="17"/>
      <c r="D43" s="18" t="n">
        <f aca="false">D14</f>
        <v>42500</v>
      </c>
      <c r="E43" s="19" t="n">
        <f aca="false">E14</f>
        <v>51625</v>
      </c>
    </row>
    <row r="44" customFormat="false" ht="37.5" hidden="false" customHeight="true" outlineLevel="0" collapsed="false">
      <c r="A44" s="12" t="s">
        <v>80</v>
      </c>
      <c r="B44" s="16" t="s">
        <v>81</v>
      </c>
      <c r="C44" s="21"/>
      <c r="D44" s="21"/>
      <c r="E44" s="22" t="n">
        <v>23.53</v>
      </c>
    </row>
    <row r="45" customFormat="false" ht="15" hidden="false" customHeight="false" outlineLevel="0" collapsed="false">
      <c r="E45" s="23"/>
    </row>
    <row r="46" customFormat="false" ht="15" hidden="false" customHeight="false" outlineLevel="0" collapsed="false">
      <c r="E46" s="23"/>
    </row>
    <row r="47" customFormat="false" ht="15" hidden="false" customHeight="false" outlineLevel="0" collapsed="false">
      <c r="E47" s="23"/>
    </row>
    <row r="48" customFormat="false" ht="15" hidden="false" customHeight="false" outlineLevel="0" collapsed="false">
      <c r="E48" s="23"/>
    </row>
  </sheetData>
  <mergeCells count="1">
    <mergeCell ref="A5:E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9.1484375" defaultRowHeight="15" zeroHeight="false" outlineLevelRow="0" outlineLevelCol="0"/>
  <cols>
    <col collapsed="false" customWidth="true" hidden="false" outlineLevel="0" max="1" min="1" style="24" width="23"/>
    <col collapsed="false" customWidth="true" hidden="false" outlineLevel="0" max="2" min="2" style="24" width="13.86"/>
    <col collapsed="false" customWidth="true" hidden="true" outlineLevel="0" max="4" min="3" style="24" width="14.29"/>
    <col collapsed="false" customWidth="true" hidden="true" outlineLevel="0" max="5" min="5" style="24" width="13.42"/>
    <col collapsed="false" customWidth="true" hidden="false" outlineLevel="0" max="6" min="6" style="24" width="15.71"/>
    <col collapsed="false" customWidth="true" hidden="true" outlineLevel="0" max="7" min="7" style="24" width="13.57"/>
    <col collapsed="false" customWidth="true" hidden="true" outlineLevel="0" max="8" min="8" style="24" width="14.29"/>
    <col collapsed="false" customWidth="true" hidden="true" outlineLevel="0" max="9" min="9" style="24" width="14.86"/>
    <col collapsed="false" customWidth="true" hidden="true" outlineLevel="0" max="10" min="10" style="24" width="12"/>
    <col collapsed="false" customWidth="true" hidden="true" outlineLevel="0" max="11" min="11" style="25" width="11.71"/>
    <col collapsed="false" customWidth="true" hidden="true" outlineLevel="0" max="12" min="12" style="24" width="13"/>
    <col collapsed="false" customWidth="true" hidden="true" outlineLevel="0" max="13" min="13" style="24" width="13.42"/>
    <col collapsed="false" customWidth="true" hidden="true" outlineLevel="0" max="14" min="14" style="24" width="14.42"/>
    <col collapsed="false" customWidth="true" hidden="true" outlineLevel="0" max="15" min="15" style="24" width="11.43"/>
    <col collapsed="false" customWidth="true" hidden="true" outlineLevel="0" max="16" min="16" style="25" width="12.29"/>
    <col collapsed="false" customWidth="false" hidden="true" outlineLevel="0" max="23" min="17" style="24" width="9.14"/>
    <col collapsed="false" customWidth="true" hidden="false" outlineLevel="0" max="24" min="24" style="24" width="14.86"/>
    <col collapsed="false" customWidth="true" hidden="false" outlineLevel="0" max="25" min="25" style="24" width="14.29"/>
    <col collapsed="false" customWidth="true" hidden="false" outlineLevel="0" max="26" min="26" style="24" width="14.14"/>
    <col collapsed="false" customWidth="true" hidden="false" outlineLevel="0" max="27" min="27" style="24" width="14.71"/>
    <col collapsed="false" customWidth="true" hidden="false" outlineLevel="0" max="28" min="28" style="24" width="11.71"/>
    <col collapsed="false" customWidth="true" hidden="false" outlineLevel="0" max="29" min="29" style="24" width="11.43"/>
    <col collapsed="false" customWidth="true" hidden="false" outlineLevel="0" max="30" min="30" style="24" width="15"/>
    <col collapsed="false" customWidth="true" hidden="false" outlineLevel="0" max="31" min="31" style="24" width="15.29"/>
    <col collapsed="false" customWidth="false" hidden="false" outlineLevel="0" max="16384" min="32" style="24" width="9.14"/>
  </cols>
  <sheetData>
    <row r="1" customFormat="false" ht="15" hidden="false" customHeight="false" outlineLevel="0" collapsed="false">
      <c r="A1" s="26"/>
      <c r="G1" s="24" t="s">
        <v>82</v>
      </c>
    </row>
    <row r="2" customFormat="false" ht="30" hidden="true" customHeight="false" outlineLevel="0" collapsed="false">
      <c r="A2" s="27" t="s">
        <v>83</v>
      </c>
      <c r="B2" s="24" t="n">
        <v>3</v>
      </c>
    </row>
    <row r="3" customFormat="false" ht="15" hidden="true" customHeight="false" outlineLevel="0" collapsed="false">
      <c r="A3" s="24" t="s">
        <v>84</v>
      </c>
      <c r="B3" s="24" t="n">
        <v>140</v>
      </c>
    </row>
    <row r="5" customFormat="false" ht="54.75" hidden="false" customHeight="true" outlineLevel="0" collapsed="false">
      <c r="A5" s="28" t="s">
        <v>85</v>
      </c>
      <c r="B5" s="28"/>
      <c r="C5" s="28"/>
      <c r="D5" s="28"/>
      <c r="E5" s="28"/>
      <c r="F5" s="28"/>
      <c r="G5" s="28"/>
      <c r="H5" s="28"/>
      <c r="I5" s="29"/>
    </row>
    <row r="6" customFormat="false" ht="15" hidden="false" customHeight="false" outlineLevel="0" collapsed="false">
      <c r="A6" s="30"/>
      <c r="M6" s="24" t="s">
        <v>86</v>
      </c>
      <c r="N6" s="24" t="s">
        <v>87</v>
      </c>
      <c r="O6" s="24" t="s">
        <v>88</v>
      </c>
    </row>
    <row r="7" customFormat="false" ht="90" hidden="false" customHeight="false" outlineLevel="0" collapsed="false">
      <c r="A7" s="31" t="s">
        <v>89</v>
      </c>
      <c r="B7" s="32" t="s">
        <v>90</v>
      </c>
      <c r="C7" s="32"/>
      <c r="D7" s="32" t="s">
        <v>91</v>
      </c>
      <c r="E7" s="32" t="s">
        <v>92</v>
      </c>
      <c r="F7" s="32" t="s">
        <v>93</v>
      </c>
      <c r="G7" s="32" t="s">
        <v>94</v>
      </c>
      <c r="H7" s="33" t="n">
        <f aca="false">[1]Расчет!I7/1000/F9</f>
        <v>0.241982041577488</v>
      </c>
      <c r="I7" s="34" t="n">
        <v>31869200</v>
      </c>
      <c r="M7" s="34" t="n">
        <f aca="false">ROUND(([1]Расчет!I7),-2)</f>
        <v>35530200</v>
      </c>
      <c r="S7" s="24" t="s">
        <v>95</v>
      </c>
      <c r="T7" s="24" t="s">
        <v>96</v>
      </c>
      <c r="U7" s="24" t="s">
        <v>97</v>
      </c>
      <c r="V7" s="24" t="s">
        <v>98</v>
      </c>
      <c r="X7" s="32" t="s">
        <v>99</v>
      </c>
      <c r="Y7" s="32" t="s">
        <v>100</v>
      </c>
      <c r="Z7" s="35" t="s">
        <v>101</v>
      </c>
      <c r="AA7" s="36" t="s">
        <v>102</v>
      </c>
      <c r="AB7" s="37" t="s">
        <v>103</v>
      </c>
      <c r="AC7" s="37" t="s">
        <v>104</v>
      </c>
      <c r="AD7" s="38" t="s">
        <v>105</v>
      </c>
      <c r="AE7" s="31" t="s">
        <v>106</v>
      </c>
    </row>
    <row r="8" customFormat="false" ht="15" hidden="false" customHeight="false" outlineLevel="0" collapsed="false">
      <c r="A8" s="39"/>
      <c r="B8" s="39"/>
      <c r="C8" s="39"/>
      <c r="D8" s="39"/>
      <c r="E8" s="39"/>
      <c r="F8" s="39"/>
      <c r="G8" s="39"/>
      <c r="H8" s="40" t="s">
        <v>107</v>
      </c>
      <c r="X8" s="39"/>
      <c r="Y8" s="39"/>
      <c r="Z8" s="41"/>
      <c r="AA8" s="42" t="n">
        <f aca="false">Стоимость!K7</f>
        <v>20.6510784371023</v>
      </c>
      <c r="AB8" s="42"/>
      <c r="AC8" s="41"/>
      <c r="AD8" s="43"/>
      <c r="AE8" s="44"/>
    </row>
    <row r="9" customFormat="false" ht="15" hidden="false" customHeight="false" outlineLevel="0" collapsed="false">
      <c r="A9" s="39" t="s">
        <v>108</v>
      </c>
      <c r="B9" s="45" t="n">
        <f aca="false">SUM(B11:B28)</f>
        <v>99646.25</v>
      </c>
      <c r="C9" s="41" t="n">
        <f aca="false">B9*$B$2/60/$B$3</f>
        <v>35.5879464285714</v>
      </c>
      <c r="D9" s="41" t="n">
        <f aca="false">SUM(D11:D28)</f>
        <v>212343</v>
      </c>
      <c r="E9" s="46" t="n">
        <f aca="false">SUM(E11:E28)</f>
        <v>17695.25</v>
      </c>
      <c r="F9" s="47" t="n">
        <f aca="false">SUM(F11:F28)</f>
        <v>146830</v>
      </c>
      <c r="G9" s="48" t="n">
        <f aca="false">SUM(G11:G28)</f>
        <v>52.4392857142857</v>
      </c>
      <c r="H9" s="49" t="n">
        <f aca="false">$H$7*F9</f>
        <v>35530.2231648225</v>
      </c>
      <c r="I9" s="24" t="n">
        <f aca="false">$I$7/(F9*12)</f>
        <v>18.0873572612318</v>
      </c>
      <c r="M9" s="24" t="n">
        <f aca="false">$M$7/12/F9</f>
        <v>20.1651569842675</v>
      </c>
      <c r="X9" s="50"/>
      <c r="Y9" s="50"/>
      <c r="Z9" s="41"/>
      <c r="AA9" s="41"/>
      <c r="AB9" s="41"/>
      <c r="AC9" s="41"/>
      <c r="AD9" s="43"/>
      <c r="AE9" s="44"/>
    </row>
    <row r="10" customFormat="false" ht="15" hidden="false" customHeight="false" outlineLevel="0" collapsed="false">
      <c r="A10" s="39"/>
      <c r="B10" s="51"/>
      <c r="C10" s="39"/>
      <c r="D10" s="39"/>
      <c r="E10" s="51"/>
      <c r="F10" s="52"/>
      <c r="G10" s="53"/>
      <c r="H10" s="49"/>
      <c r="X10" s="50"/>
      <c r="Y10" s="50"/>
      <c r="Z10" s="41"/>
      <c r="AA10" s="41"/>
      <c r="AB10" s="41"/>
      <c r="AC10" s="41"/>
      <c r="AD10" s="43"/>
      <c r="AE10" s="44"/>
    </row>
    <row r="11" customFormat="false" ht="15" hidden="false" customHeight="false" outlineLevel="0" collapsed="false">
      <c r="A11" s="54" t="s">
        <v>109</v>
      </c>
      <c r="B11" s="55" t="n">
        <v>3690</v>
      </c>
      <c r="C11" s="39" t="n">
        <f aca="false">B11*$B$2/60/$B$3</f>
        <v>1.31785714285714</v>
      </c>
      <c r="D11" s="39"/>
      <c r="E11" s="51" t="n">
        <f aca="false">D11/12</f>
        <v>0</v>
      </c>
      <c r="F11" s="56" t="n">
        <v>8788</v>
      </c>
      <c r="G11" s="53" t="n">
        <f aca="false">F11*$B$2/60/$B$3</f>
        <v>3.13857142857143</v>
      </c>
      <c r="H11" s="49" t="n">
        <f aca="false">$H$7*F11</f>
        <v>2126.53818138296</v>
      </c>
      <c r="I11" s="34" t="n">
        <f aca="false">F11*($I$9*12)</f>
        <v>1907420.34734046</v>
      </c>
      <c r="J11" s="34" t="n">
        <f aca="false">I11/12</f>
        <v>158951.695611705</v>
      </c>
      <c r="K11" s="25" t="str">
        <f aca="false">H36</f>
        <v>5 группа</v>
      </c>
      <c r="L11" s="57" t="n">
        <f aca="false">J36</f>
        <v>63000</v>
      </c>
      <c r="M11" s="34" t="n">
        <f aca="false">F11*$M$9*12</f>
        <v>2126536.79493292</v>
      </c>
      <c r="N11" s="34" t="n">
        <f aca="false">M11/12</f>
        <v>177211.399577743</v>
      </c>
      <c r="O11" s="58" t="n">
        <f aca="false">ROUND((N11),-2)</f>
        <v>177200</v>
      </c>
      <c r="P11" s="25" t="str">
        <f aca="false">M36</f>
        <v>5 группа</v>
      </c>
      <c r="Q11" s="59" t="n">
        <f aca="false">U36</f>
        <v>65900</v>
      </c>
      <c r="T11" s="58" t="n">
        <f aca="false">O11</f>
        <v>177200</v>
      </c>
      <c r="X11" s="50" t="n">
        <v>4394</v>
      </c>
      <c r="Y11" s="56" t="n">
        <f aca="false">F11-X11</f>
        <v>4394</v>
      </c>
      <c r="Z11" s="41" t="n">
        <v>59600</v>
      </c>
      <c r="AA11" s="60" t="n">
        <f aca="false">F11*AA8</f>
        <v>181481.677305255</v>
      </c>
      <c r="AB11" s="60"/>
      <c r="AC11" s="60" t="n">
        <v>5</v>
      </c>
      <c r="AD11" s="43" t="n">
        <f aca="false">Прайс!D16</f>
        <v>76600</v>
      </c>
      <c r="AE11" s="61" t="n">
        <f aca="false">AD11/Z11*100-100</f>
        <v>28.5234899328859</v>
      </c>
    </row>
    <row r="12" customFormat="false" ht="15" hidden="false" customHeight="false" outlineLevel="0" collapsed="false">
      <c r="A12" s="54" t="s">
        <v>110</v>
      </c>
      <c r="B12" s="55" t="n">
        <v>1224</v>
      </c>
      <c r="C12" s="39" t="n">
        <f aca="false">B12*$B$2/60/$B$3</f>
        <v>0.437142857142857</v>
      </c>
      <c r="D12" s="39"/>
      <c r="E12" s="51" t="n">
        <f aca="false">D12/12</f>
        <v>0</v>
      </c>
      <c r="F12" s="56" t="n">
        <v>4461</v>
      </c>
      <c r="G12" s="53" t="n">
        <f aca="false">F12*$B$2/60/$B$3</f>
        <v>1.59321428571429</v>
      </c>
      <c r="H12" s="49" t="n">
        <f aca="false">$H$7*F12</f>
        <v>1079.48188747717</v>
      </c>
      <c r="I12" s="34" t="n">
        <f aca="false">F12*($I$9*12)</f>
        <v>968252.408908261</v>
      </c>
      <c r="J12" s="34" t="n">
        <f aca="false">I12/12</f>
        <v>80687.7007423551</v>
      </c>
      <c r="K12" s="25" t="str">
        <f aca="false">H37</f>
        <v>4 группа</v>
      </c>
      <c r="L12" s="57" t="n">
        <f aca="false">J37</f>
        <v>31500</v>
      </c>
      <c r="M12" s="34" t="n">
        <f aca="false">F12*$M$9*12</f>
        <v>1079481.18368181</v>
      </c>
      <c r="N12" s="34" t="n">
        <f aca="false">M12/12</f>
        <v>89956.7653068174</v>
      </c>
      <c r="O12" s="58" t="n">
        <f aca="false">ROUND((N12),-2)</f>
        <v>90000</v>
      </c>
      <c r="P12" s="25" t="str">
        <f aca="false">M37</f>
        <v>4 группа</v>
      </c>
      <c r="Q12" s="59" t="n">
        <f aca="false">U37</f>
        <v>30300</v>
      </c>
      <c r="S12" s="58" t="n">
        <f aca="false">O12</f>
        <v>90000</v>
      </c>
      <c r="X12" s="50" t="n">
        <v>0</v>
      </c>
      <c r="Y12" s="56" t="n">
        <f aca="false">F12-X12</f>
        <v>4461</v>
      </c>
      <c r="Z12" s="41" t="n">
        <v>59600</v>
      </c>
      <c r="AA12" s="60" t="n">
        <f aca="false">F12*AA8</f>
        <v>92124.4609079132</v>
      </c>
      <c r="AB12" s="60"/>
      <c r="AC12" s="60" t="n">
        <v>5</v>
      </c>
      <c r="AD12" s="43" t="n">
        <f aca="false">Прайс!D16</f>
        <v>76600</v>
      </c>
      <c r="AE12" s="61" t="n">
        <f aca="false">AD12/Z12*100-100</f>
        <v>28.5234899328859</v>
      </c>
    </row>
    <row r="13" customFormat="false" ht="15" hidden="false" customHeight="false" outlineLevel="0" collapsed="false">
      <c r="A13" s="54" t="s">
        <v>111</v>
      </c>
      <c r="B13" s="55" t="n">
        <v>2954</v>
      </c>
      <c r="C13" s="39" t="n">
        <f aca="false">B13*$B$2/60/$B$3</f>
        <v>1.055</v>
      </c>
      <c r="D13" s="39"/>
      <c r="E13" s="51" t="n">
        <f aca="false">D13/12</f>
        <v>0</v>
      </c>
      <c r="F13" s="56" t="n">
        <v>1121</v>
      </c>
      <c r="G13" s="53" t="n">
        <f aca="false">F13*$B$2/60/$B$3</f>
        <v>0.400357142857143</v>
      </c>
      <c r="H13" s="49" t="n">
        <f aca="false">$H$7*F13</f>
        <v>271.261868608364</v>
      </c>
      <c r="I13" s="34" t="n">
        <f aca="false">F13*($I$9*12)</f>
        <v>243311.12987809</v>
      </c>
      <c r="J13" s="34" t="n">
        <f aca="false">I13/12</f>
        <v>20275.9274898409</v>
      </c>
      <c r="K13" s="25" t="str">
        <f aca="false">H36</f>
        <v>5 группа</v>
      </c>
      <c r="L13" s="57" t="n">
        <f aca="false">J36</f>
        <v>63000</v>
      </c>
      <c r="M13" s="34" t="n">
        <f aca="false">F13*$M$9*12</f>
        <v>271261.691752367</v>
      </c>
      <c r="N13" s="34" t="n">
        <f aca="false">M13/12</f>
        <v>22605.1409793639</v>
      </c>
      <c r="O13" s="58" t="n">
        <f aca="false">ROUND((N13),-2)</f>
        <v>22600</v>
      </c>
      <c r="P13" s="25" t="str">
        <f aca="false">M36</f>
        <v>5 группа</v>
      </c>
      <c r="Q13" s="59" t="n">
        <f aca="false">U36</f>
        <v>65900</v>
      </c>
      <c r="T13" s="58" t="n">
        <f aca="false">O13</f>
        <v>22600</v>
      </c>
      <c r="X13" s="50" t="n">
        <v>0</v>
      </c>
      <c r="Y13" s="56" t="n">
        <f aca="false">F13-X13</f>
        <v>1121</v>
      </c>
      <c r="Z13" s="41" t="n">
        <v>16100</v>
      </c>
      <c r="AA13" s="60" t="n">
        <f aca="false">F13*AA8</f>
        <v>23149.8589279916</v>
      </c>
      <c r="AB13" s="60"/>
      <c r="AC13" s="60" t="n">
        <v>2</v>
      </c>
      <c r="AD13" s="43" t="n">
        <f aca="false">Прайс!D13</f>
        <v>25500</v>
      </c>
      <c r="AE13" s="61" t="n">
        <f aca="false">AD13/Z13*100-100</f>
        <v>58.3850931677019</v>
      </c>
    </row>
    <row r="14" customFormat="false" ht="15" hidden="false" customHeight="false" outlineLevel="0" collapsed="false">
      <c r="A14" s="54" t="s">
        <v>112</v>
      </c>
      <c r="B14" s="55" t="n">
        <v>1900.08333333333</v>
      </c>
      <c r="C14" s="39" t="n">
        <f aca="false">B14*$B$2/60/$B$3</f>
        <v>0.678601190476191</v>
      </c>
      <c r="D14" s="39" t="n">
        <v>37</v>
      </c>
      <c r="E14" s="51" t="n">
        <f aca="false">D14/12</f>
        <v>3.08333333333333</v>
      </c>
      <c r="F14" s="56" t="n">
        <v>3431</v>
      </c>
      <c r="G14" s="53" t="n">
        <f aca="false">F14*$B$2/60/$B$3</f>
        <v>1.22535714285714</v>
      </c>
      <c r="H14" s="49" t="n">
        <f aca="false">$H$7*F14</f>
        <v>830.24038465236</v>
      </c>
      <c r="I14" s="34" t="n">
        <f aca="false">F14*($I$9*12)</f>
        <v>744692.673159436</v>
      </c>
      <c r="J14" s="34" t="n">
        <f aca="false">I14/12</f>
        <v>62057.7227632863</v>
      </c>
      <c r="K14" s="25" t="str">
        <f aca="false">H37</f>
        <v>4 группа</v>
      </c>
      <c r="L14" s="57" t="n">
        <f aca="false">J37</f>
        <v>31500</v>
      </c>
      <c r="M14" s="34" t="n">
        <f aca="false">F14*$M$9*12</f>
        <v>830239.843356262</v>
      </c>
      <c r="N14" s="34" t="n">
        <f aca="false">M14/12</f>
        <v>69186.6536130219</v>
      </c>
      <c r="O14" s="58" t="n">
        <f aca="false">ROUND((N14),-2)</f>
        <v>69200</v>
      </c>
      <c r="P14" s="25" t="str">
        <f aca="false">M37</f>
        <v>4 группа</v>
      </c>
      <c r="Q14" s="59" t="n">
        <f aca="false">U37</f>
        <v>30300</v>
      </c>
      <c r="S14" s="58" t="n">
        <f aca="false">O14</f>
        <v>69200</v>
      </c>
      <c r="X14" s="50" t="n">
        <v>1143</v>
      </c>
      <c r="Y14" s="56" t="n">
        <f aca="false">F14-X14</f>
        <v>2288</v>
      </c>
      <c r="Z14" s="41" t="n">
        <v>36100</v>
      </c>
      <c r="AA14" s="60" t="n">
        <f aca="false">F14*AA8</f>
        <v>70853.8501176979</v>
      </c>
      <c r="AB14" s="60"/>
      <c r="AC14" s="60" t="n">
        <v>3</v>
      </c>
      <c r="AD14" s="43" t="n">
        <f aca="false">Прайс!D14</f>
        <v>42500</v>
      </c>
      <c r="AE14" s="61" t="n">
        <f aca="false">AD14/Z14*100-100</f>
        <v>17.7285318559557</v>
      </c>
    </row>
    <row r="15" customFormat="false" ht="15" hidden="false" customHeight="false" outlineLevel="0" collapsed="false">
      <c r="A15" s="54" t="s">
        <v>113</v>
      </c>
      <c r="B15" s="55" t="n">
        <v>1792</v>
      </c>
      <c r="C15" s="39" t="n">
        <f aca="false">B15*$B$2/60/$B$3</f>
        <v>0.64</v>
      </c>
      <c r="D15" s="39"/>
      <c r="E15" s="51" t="n">
        <f aca="false">D15/12</f>
        <v>0</v>
      </c>
      <c r="F15" s="56" t="n">
        <v>1743</v>
      </c>
      <c r="G15" s="53" t="n">
        <f aca="false">F15*$B$2/60/$B$3</f>
        <v>0.6225</v>
      </c>
      <c r="H15" s="49" t="n">
        <f aca="false">$H$7*F15</f>
        <v>421.774698469561</v>
      </c>
      <c r="I15" s="34" t="n">
        <f aca="false">F15*($I$9*12)</f>
        <v>378315.164475925</v>
      </c>
      <c r="J15" s="34" t="n">
        <f aca="false">I15/12</f>
        <v>31526.263706327</v>
      </c>
      <c r="K15" s="25" t="str">
        <f aca="false">H37</f>
        <v>4 группа</v>
      </c>
      <c r="L15" s="57" t="n">
        <f aca="false">J37</f>
        <v>31500</v>
      </c>
      <c r="M15" s="34" t="n">
        <f aca="false">F15*$M$9*12</f>
        <v>421774.42348294</v>
      </c>
      <c r="N15" s="34" t="n">
        <f aca="false">M15/12</f>
        <v>35147.8686235783</v>
      </c>
      <c r="O15" s="58" t="n">
        <f aca="false">ROUND((N15),-2)</f>
        <v>35100</v>
      </c>
      <c r="P15" s="25" t="str">
        <f aca="false">M37</f>
        <v>4 группа</v>
      </c>
      <c r="Q15" s="59" t="n">
        <f aca="false">U37</f>
        <v>30300</v>
      </c>
      <c r="S15" s="58" t="n">
        <f aca="false">O15</f>
        <v>35100</v>
      </c>
      <c r="X15" s="50" t="n">
        <v>0</v>
      </c>
      <c r="Y15" s="56" t="n">
        <f aca="false">F15-X15</f>
        <v>1743</v>
      </c>
      <c r="Z15" s="41" t="n">
        <v>36100</v>
      </c>
      <c r="AA15" s="60" t="n">
        <f aca="false">F15*AA8</f>
        <v>35994.8297158692</v>
      </c>
      <c r="AB15" s="60"/>
      <c r="AC15" s="60" t="n">
        <v>3</v>
      </c>
      <c r="AD15" s="62" t="n">
        <f aca="false">Прайс!D14</f>
        <v>42500</v>
      </c>
      <c r="AE15" s="61" t="n">
        <f aca="false">AD15/Z15*100-100</f>
        <v>17.7285318559557</v>
      </c>
    </row>
    <row r="16" customFormat="false" ht="15" hidden="false" customHeight="false" outlineLevel="0" collapsed="false">
      <c r="A16" s="54" t="s">
        <v>114</v>
      </c>
      <c r="B16" s="55" t="n">
        <v>19825.5</v>
      </c>
      <c r="C16" s="39" t="n">
        <f aca="false">B16*$B$2/60/$B$3</f>
        <v>7.08053571428571</v>
      </c>
      <c r="D16" s="39" t="n">
        <v>29646</v>
      </c>
      <c r="E16" s="51" t="n">
        <f aca="false">D16/12</f>
        <v>2470.5</v>
      </c>
      <c r="F16" s="56" t="n">
        <v>30330</v>
      </c>
      <c r="G16" s="53" t="n">
        <f aca="false">F16*$B$2/60/$B$3</f>
        <v>10.8321428571429</v>
      </c>
      <c r="H16" s="49" t="n">
        <f aca="false">$H$7*F16</f>
        <v>7339.3153210452</v>
      </c>
      <c r="I16" s="34" t="n">
        <f aca="false">F16*($I$9*12)</f>
        <v>6583074.54879793</v>
      </c>
      <c r="J16" s="34" t="n">
        <f aca="false">I16/12</f>
        <v>548589.545733161</v>
      </c>
      <c r="K16" s="25" t="str">
        <f aca="false">H31</f>
        <v>10 группа</v>
      </c>
      <c r="L16" s="57" t="n">
        <f aca="false">J31</f>
        <v>500000</v>
      </c>
      <c r="M16" s="34" t="n">
        <f aca="false">F16*$M$9*12</f>
        <v>7339310.53599401</v>
      </c>
      <c r="N16" s="34" t="n">
        <f aca="false">M16/12</f>
        <v>611609.211332834</v>
      </c>
      <c r="O16" s="58" t="n">
        <f aca="false">ROUND((N16),-2)</f>
        <v>611600</v>
      </c>
      <c r="P16" s="25" t="str">
        <f aca="false">M31</f>
        <v>10 группа</v>
      </c>
      <c r="Q16" s="59" t="n">
        <f aca="false">U31</f>
        <v>354300</v>
      </c>
      <c r="X16" s="50" t="n">
        <v>3510</v>
      </c>
      <c r="Y16" s="56" t="n">
        <f aca="false">F16-X16</f>
        <v>26820</v>
      </c>
      <c r="Z16" s="41" t="n">
        <v>397000</v>
      </c>
      <c r="AA16" s="60" t="n">
        <f aca="false">F16*AA8</f>
        <v>626347.208997312</v>
      </c>
      <c r="AB16" s="60"/>
      <c r="AC16" s="60" t="n">
        <v>27</v>
      </c>
      <c r="AD16" s="43" t="e">
        <f aca="false">$'прайс'.#ref </f>
        <v>#N/A</v>
      </c>
      <c r="AE16" s="61" t="e">
        <f aca="false">AD16/Z16*100-100</f>
        <v>#N/A</v>
      </c>
    </row>
    <row r="17" customFormat="false" ht="15" hidden="false" customHeight="false" outlineLevel="0" collapsed="false">
      <c r="A17" s="54" t="s">
        <v>115</v>
      </c>
      <c r="B17" s="55" t="n">
        <v>3971.75</v>
      </c>
      <c r="C17" s="39" t="n">
        <f aca="false">B17*$B$2/60/$B$3</f>
        <v>1.41848214285714</v>
      </c>
      <c r="D17" s="39" t="n">
        <v>7677</v>
      </c>
      <c r="E17" s="51" t="n">
        <f aca="false">D17/12</f>
        <v>639.75</v>
      </c>
      <c r="F17" s="56" t="n">
        <v>3604</v>
      </c>
      <c r="G17" s="53" t="n">
        <f aca="false">F17*$B$2/60/$B$3</f>
        <v>1.28714285714286</v>
      </c>
      <c r="H17" s="49" t="n">
        <f aca="false">$H$7*F17</f>
        <v>872.103277845265</v>
      </c>
      <c r="I17" s="34" t="n">
        <f aca="false">F17*($I$9*12)</f>
        <v>782242.026833753</v>
      </c>
      <c r="J17" s="34" t="n">
        <f aca="false">I17/12</f>
        <v>65186.8355694794</v>
      </c>
      <c r="K17" s="25" t="str">
        <f aca="false">H36</f>
        <v>5 группа</v>
      </c>
      <c r="L17" s="57" t="n">
        <f aca="false">J36</f>
        <v>63000</v>
      </c>
      <c r="M17" s="34" t="n">
        <f aca="false">F17*$M$9*12</f>
        <v>872102.709255602</v>
      </c>
      <c r="N17" s="34" t="n">
        <f aca="false">M17/12</f>
        <v>72675.2257713001</v>
      </c>
      <c r="O17" s="58" t="n">
        <f aca="false">ROUND((N17),-2)</f>
        <v>72700</v>
      </c>
      <c r="P17" s="25" t="str">
        <f aca="false">M36</f>
        <v>5 группа</v>
      </c>
      <c r="Q17" s="59" t="n">
        <f aca="false">U36</f>
        <v>65900</v>
      </c>
      <c r="T17" s="58" t="n">
        <f aca="false">O17</f>
        <v>72700</v>
      </c>
      <c r="X17" s="50" t="n">
        <v>0</v>
      </c>
      <c r="Y17" s="56" t="n">
        <f aca="false">F17-X17</f>
        <v>3604</v>
      </c>
      <c r="Z17" s="41" t="n">
        <v>59600</v>
      </c>
      <c r="AA17" s="60" t="n">
        <f aca="false">F17*AA8</f>
        <v>74426.4866873165</v>
      </c>
      <c r="AB17" s="60"/>
      <c r="AC17" s="60" t="n">
        <v>4</v>
      </c>
      <c r="AD17" s="43" t="n">
        <f aca="false">Прайс!D15</f>
        <v>59600</v>
      </c>
      <c r="AE17" s="61" t="n">
        <f aca="false">AD17/Z17*100-100</f>
        <v>0</v>
      </c>
    </row>
    <row r="18" customFormat="false" ht="15" hidden="false" customHeight="false" outlineLevel="0" collapsed="false">
      <c r="A18" s="54" t="s">
        <v>116</v>
      </c>
      <c r="B18" s="55" t="n">
        <v>12555.9166666667</v>
      </c>
      <c r="C18" s="39" t="n">
        <f aca="false">B18*$B$2/60/$B$3</f>
        <v>4.48425595238095</v>
      </c>
      <c r="D18" s="39" t="n">
        <v>34847</v>
      </c>
      <c r="E18" s="51" t="n">
        <f aca="false">D18/12</f>
        <v>2903.91666666667</v>
      </c>
      <c r="F18" s="56" t="n">
        <v>18845</v>
      </c>
      <c r="G18" s="53" t="n">
        <f aca="false">F18*$B$2/60/$B$3</f>
        <v>6.73035714285714</v>
      </c>
      <c r="H18" s="49" t="n">
        <f aca="false">$H$7*F18</f>
        <v>4560.15157352775</v>
      </c>
      <c r="I18" s="34" t="n">
        <f aca="false">F18*($I$9*12)</f>
        <v>4090274.97105496</v>
      </c>
      <c r="J18" s="34" t="n">
        <f aca="false">I18/12</f>
        <v>340856.247587913</v>
      </c>
      <c r="K18" s="25" t="str">
        <f aca="false">H33</f>
        <v>8 группа</v>
      </c>
      <c r="L18" s="57" t="n">
        <f aca="false">J33</f>
        <v>241500</v>
      </c>
      <c r="M18" s="34" t="n">
        <f aca="false">F18*$M$9*12</f>
        <v>4560148.60042226</v>
      </c>
      <c r="N18" s="34" t="n">
        <f aca="false">M18/12</f>
        <v>380012.383368521</v>
      </c>
      <c r="O18" s="58" t="n">
        <f aca="false">ROUND((N18),-2)</f>
        <v>380000</v>
      </c>
      <c r="P18" s="25" t="str">
        <f aca="false">M33</f>
        <v>8 группа</v>
      </c>
      <c r="Q18" s="59" t="n">
        <f aca="false">U33</f>
        <v>209900</v>
      </c>
      <c r="V18" s="58" t="n">
        <f aca="false">O18</f>
        <v>380000</v>
      </c>
      <c r="X18" s="50" t="n">
        <v>0</v>
      </c>
      <c r="Y18" s="56" t="n">
        <f aca="false">F18-X18</f>
        <v>18845</v>
      </c>
      <c r="Z18" s="41" t="n">
        <v>279200</v>
      </c>
      <c r="AA18" s="60" t="n">
        <f aca="false">F18*AA8</f>
        <v>389169.573147192</v>
      </c>
      <c r="AB18" s="60"/>
      <c r="AC18" s="60" t="n">
        <v>19</v>
      </c>
      <c r="AD18" s="43" t="n">
        <f aca="false">Прайс!D30</f>
        <v>314900</v>
      </c>
      <c r="AE18" s="61" t="n">
        <f aca="false">AD18/Z18*100-100</f>
        <v>12.7865329512894</v>
      </c>
    </row>
    <row r="19" customFormat="false" ht="15" hidden="false" customHeight="false" outlineLevel="0" collapsed="false">
      <c r="A19" s="54" t="s">
        <v>117</v>
      </c>
      <c r="B19" s="55" t="n">
        <v>5272.41666666667</v>
      </c>
      <c r="C19" s="39" t="n">
        <f aca="false">B19*$B$2/60/$B$3</f>
        <v>1.88300595238095</v>
      </c>
      <c r="D19" s="39" t="n">
        <v>173</v>
      </c>
      <c r="E19" s="51" t="n">
        <f aca="false">D19/12</f>
        <v>14.4166666666667</v>
      </c>
      <c r="F19" s="56" t="n">
        <v>12551</v>
      </c>
      <c r="G19" s="53" t="n">
        <f aca="false">F19*$B$2/60/$B$3</f>
        <v>4.4825</v>
      </c>
      <c r="H19" s="49" t="n">
        <f aca="false">$H$7*F19</f>
        <v>3037.11660383905</v>
      </c>
      <c r="I19" s="34" t="n">
        <f aca="false">F19*($I$9*12)</f>
        <v>2724173.05182865</v>
      </c>
      <c r="J19" s="34" t="n">
        <f aca="false">I19/12</f>
        <v>227014.42098572</v>
      </c>
      <c r="K19" s="25" t="str">
        <f aca="false">H35</f>
        <v>6 группа</v>
      </c>
      <c r="L19" s="57" t="n">
        <f aca="false">J35</f>
        <v>115500</v>
      </c>
      <c r="M19" s="34" t="n">
        <f aca="false">F19*$M$9*12</f>
        <v>3037114.6237145</v>
      </c>
      <c r="N19" s="34" t="n">
        <f aca="false">M19/12</f>
        <v>253092.885309542</v>
      </c>
      <c r="O19" s="58" t="n">
        <f aca="false">ROUND((N19),-2)</f>
        <v>253100</v>
      </c>
      <c r="P19" s="25" t="str">
        <f aca="false">M35</f>
        <v>6 группа</v>
      </c>
      <c r="Q19" s="59" t="n">
        <f aca="false">U35</f>
        <v>98100</v>
      </c>
      <c r="U19" s="58" t="n">
        <f aca="false">O19</f>
        <v>253100</v>
      </c>
      <c r="X19" s="50" t="n">
        <v>4367</v>
      </c>
      <c r="Y19" s="56" t="n">
        <f aca="false">F19-X19</f>
        <v>8184</v>
      </c>
      <c r="Z19" s="41" t="n">
        <v>118700</v>
      </c>
      <c r="AA19" s="60" t="n">
        <f aca="false">F19*AA8</f>
        <v>259191.68546407</v>
      </c>
      <c r="AB19" s="60"/>
      <c r="AC19" s="60" t="n">
        <v>9</v>
      </c>
      <c r="AD19" s="43" t="n">
        <f aca="false">Прайс!D20</f>
        <v>144700</v>
      </c>
      <c r="AE19" s="61" t="n">
        <f aca="false">AD19/Z19*100-100</f>
        <v>21.9039595619208</v>
      </c>
    </row>
    <row r="20" customFormat="false" ht="15" hidden="false" customHeight="false" outlineLevel="0" collapsed="false">
      <c r="A20" s="54" t="s">
        <v>118</v>
      </c>
      <c r="B20" s="55" t="n">
        <v>750</v>
      </c>
      <c r="C20" s="39" t="n">
        <f aca="false">B20*$B$2/60/$B$3</f>
        <v>0.267857142857143</v>
      </c>
      <c r="D20" s="39"/>
      <c r="E20" s="51" t="n">
        <f aca="false">D20/12</f>
        <v>0</v>
      </c>
      <c r="F20" s="56"/>
      <c r="G20" s="53" t="n">
        <f aca="false">F20*$B$2/60/$B$3</f>
        <v>0</v>
      </c>
      <c r="H20" s="49" t="n">
        <f aca="false">$H$7*F20</f>
        <v>0</v>
      </c>
      <c r="I20" s="34" t="n">
        <f aca="false">F20*($I$9*12)</f>
        <v>0</v>
      </c>
      <c r="J20" s="34" t="n">
        <f aca="false">I20/12</f>
        <v>0</v>
      </c>
      <c r="K20" s="25" t="str">
        <f aca="false">H38</f>
        <v>3 группа</v>
      </c>
      <c r="L20" s="57" t="n">
        <f aca="false">J38</f>
        <v>15000</v>
      </c>
      <c r="M20" s="34" t="n">
        <f aca="false">F20*$M$9*12</f>
        <v>0</v>
      </c>
      <c r="N20" s="34" t="n">
        <f aca="false">M20/12</f>
        <v>0</v>
      </c>
      <c r="O20" s="58" t="n">
        <f aca="false">ROUND((N20),-2)</f>
        <v>0</v>
      </c>
      <c r="P20" s="25" t="str">
        <f aca="false">M38</f>
        <v>3 группа</v>
      </c>
      <c r="Q20" s="59" t="n">
        <f aca="false">U38</f>
        <v>15100</v>
      </c>
      <c r="X20" s="50"/>
      <c r="Y20" s="56"/>
      <c r="Z20" s="41"/>
      <c r="AA20" s="60"/>
      <c r="AB20" s="60"/>
      <c r="AC20" s="60"/>
      <c r="AD20" s="43"/>
      <c r="AE20" s="61"/>
    </row>
    <row r="21" customFormat="false" ht="15" hidden="false" customHeight="false" outlineLevel="0" collapsed="false">
      <c r="A21" s="54" t="s">
        <v>119</v>
      </c>
      <c r="B21" s="55" t="n">
        <v>51</v>
      </c>
      <c r="C21" s="39" t="n">
        <f aca="false">B21*$B$2/60/$B$3</f>
        <v>0.0182142857142857</v>
      </c>
      <c r="D21" s="39"/>
      <c r="E21" s="51" t="n">
        <f aca="false">D21/12</f>
        <v>0</v>
      </c>
      <c r="F21" s="56"/>
      <c r="G21" s="53" t="n">
        <f aca="false">F21*$B$2/60/$B$3</f>
        <v>0</v>
      </c>
      <c r="H21" s="49" t="n">
        <f aca="false">$H$7*F21</f>
        <v>0</v>
      </c>
      <c r="I21" s="34" t="n">
        <f aca="false">F21*($I$9*12)</f>
        <v>0</v>
      </c>
      <c r="J21" s="34" t="n">
        <f aca="false">I21/12</f>
        <v>0</v>
      </c>
      <c r="K21" s="25" t="str">
        <f aca="false">H40</f>
        <v>1 группа</v>
      </c>
      <c r="L21" s="57" t="n">
        <f aca="false">J40</f>
        <v>1000</v>
      </c>
      <c r="M21" s="34" t="n">
        <f aca="false">F21*$M$9*12</f>
        <v>0</v>
      </c>
      <c r="N21" s="34" t="n">
        <f aca="false">M21/12</f>
        <v>0</v>
      </c>
      <c r="O21" s="58" t="n">
        <f aca="false">ROUND((N21),-2)</f>
        <v>0</v>
      </c>
      <c r="P21" s="25" t="str">
        <f aca="false">M40</f>
        <v>1 группа</v>
      </c>
      <c r="Q21" s="59" t="n">
        <f aca="false">U40</f>
        <v>1000</v>
      </c>
      <c r="S21" s="58"/>
      <c r="X21" s="50"/>
      <c r="Y21" s="56"/>
      <c r="Z21" s="41"/>
      <c r="AA21" s="60"/>
      <c r="AB21" s="60"/>
      <c r="AC21" s="60"/>
      <c r="AD21" s="43"/>
      <c r="AE21" s="61"/>
    </row>
    <row r="22" customFormat="false" ht="15" hidden="false" customHeight="false" outlineLevel="0" collapsed="false">
      <c r="A22" s="54" t="s">
        <v>120</v>
      </c>
      <c r="B22" s="55" t="n">
        <v>5085</v>
      </c>
      <c r="C22" s="39" t="n">
        <f aca="false">B22*$B$2/60/$B$3</f>
        <v>1.81607142857143</v>
      </c>
      <c r="D22" s="39" t="n">
        <f aca="false">11808+12444</f>
        <v>24252</v>
      </c>
      <c r="E22" s="51" t="n">
        <f aca="false">D22/12</f>
        <v>2021</v>
      </c>
      <c r="F22" s="56" t="n">
        <v>7591</v>
      </c>
      <c r="G22" s="53" t="n">
        <f aca="false">F22*$B$2/60/$B$3</f>
        <v>2.71107142857143</v>
      </c>
      <c r="H22" s="49" t="n">
        <f aca="false">$H$7*F22</f>
        <v>1836.88567761471</v>
      </c>
      <c r="I22" s="34" t="n">
        <f aca="false">F22*($I$9*12)</f>
        <v>1647613.54764013</v>
      </c>
      <c r="J22" s="34" t="n">
        <f aca="false">I22/12</f>
        <v>137301.128970011</v>
      </c>
      <c r="K22" s="25" t="str">
        <f aca="false">H35</f>
        <v>6 группа</v>
      </c>
      <c r="L22" s="57" t="n">
        <f aca="false">J35</f>
        <v>115500</v>
      </c>
      <c r="M22" s="34" t="n">
        <f aca="false">F22*$M$9*12</f>
        <v>1836884.4800109</v>
      </c>
      <c r="N22" s="34" t="n">
        <f aca="false">M22/12</f>
        <v>153073.706667575</v>
      </c>
      <c r="O22" s="58" t="n">
        <f aca="false">ROUND((N22),-2)</f>
        <v>153100</v>
      </c>
      <c r="P22" s="25" t="str">
        <f aca="false">M35</f>
        <v>6 группа</v>
      </c>
      <c r="Q22" s="59" t="n">
        <f aca="false">U35</f>
        <v>98100</v>
      </c>
      <c r="U22" s="58" t="n">
        <f aca="false">O22</f>
        <v>153100</v>
      </c>
      <c r="X22" s="50" t="n">
        <v>1197</v>
      </c>
      <c r="Y22" s="56" t="n">
        <f aca="false">F22-X22</f>
        <v>6394</v>
      </c>
      <c r="Z22" s="41" t="n">
        <v>100100</v>
      </c>
      <c r="AA22" s="60" t="n">
        <f aca="false">F22*AA8</f>
        <v>156762.336416043</v>
      </c>
      <c r="AB22" s="60"/>
      <c r="AC22" s="60" t="n">
        <v>7</v>
      </c>
      <c r="AD22" s="43" t="n">
        <f aca="false">Прайс!D18</f>
        <v>110600</v>
      </c>
      <c r="AE22" s="61" t="n">
        <f aca="false">AD22/Z22*100-100</f>
        <v>10.4895104895105</v>
      </c>
    </row>
    <row r="23" customFormat="false" ht="15" hidden="false" customHeight="false" outlineLevel="0" collapsed="false">
      <c r="A23" s="54" t="s">
        <v>121</v>
      </c>
      <c r="B23" s="55" t="n">
        <v>4600.25</v>
      </c>
      <c r="C23" s="39" t="n">
        <f aca="false">B23*$B$2/60/$B$3</f>
        <v>1.64294642857143</v>
      </c>
      <c r="D23" s="39" t="n">
        <v>7287</v>
      </c>
      <c r="E23" s="51" t="n">
        <f aca="false">D23/12</f>
        <v>607.25</v>
      </c>
      <c r="F23" s="56" t="n">
        <v>6682</v>
      </c>
      <c r="G23" s="53" t="n">
        <f aca="false">F23*$B$2/60/$B$3</f>
        <v>2.38642857142857</v>
      </c>
      <c r="H23" s="49" t="n">
        <f aca="false">$H$7*F23</f>
        <v>1616.92400182077</v>
      </c>
      <c r="I23" s="34" t="n">
        <f aca="false">F23*($I$9*12)</f>
        <v>1450316.65463461</v>
      </c>
      <c r="J23" s="34" t="n">
        <f aca="false">I23/12</f>
        <v>120859.721219551</v>
      </c>
      <c r="K23" s="25" t="str">
        <f aca="false">H35</f>
        <v>6 группа</v>
      </c>
      <c r="L23" s="57" t="n">
        <f aca="false">J35</f>
        <v>115500</v>
      </c>
      <c r="M23" s="34" t="n">
        <f aca="false">F23*$M$9*12</f>
        <v>1616922.94762651</v>
      </c>
      <c r="N23" s="34" t="n">
        <f aca="false">M23/12</f>
        <v>134743.578968876</v>
      </c>
      <c r="O23" s="58" t="n">
        <f aca="false">ROUND((N23),-2)</f>
        <v>134700</v>
      </c>
      <c r="P23" s="25" t="str">
        <f aca="false">M35</f>
        <v>6 группа</v>
      </c>
      <c r="Q23" s="59" t="n">
        <f aca="false">U35</f>
        <v>98100</v>
      </c>
      <c r="U23" s="58" t="n">
        <f aca="false">O23</f>
        <v>134700</v>
      </c>
      <c r="X23" s="50" t="n">
        <v>0</v>
      </c>
      <c r="Y23" s="56" t="n">
        <f aca="false">F23-X23</f>
        <v>6682</v>
      </c>
      <c r="Z23" s="41" t="n">
        <v>100100</v>
      </c>
      <c r="AA23" s="60" t="n">
        <f aca="false">F23*AA8</f>
        <v>137990.506116717</v>
      </c>
      <c r="AB23" s="60"/>
      <c r="AC23" s="60" t="n">
        <v>7</v>
      </c>
      <c r="AD23" s="43" t="n">
        <f aca="false">Прайс!D18</f>
        <v>110600</v>
      </c>
      <c r="AE23" s="61" t="n">
        <f aca="false">AD23/Z23*100-100</f>
        <v>10.4895104895105</v>
      </c>
    </row>
    <row r="24" customFormat="false" ht="15" hidden="false" customHeight="false" outlineLevel="0" collapsed="false">
      <c r="A24" s="54" t="s">
        <v>122</v>
      </c>
      <c r="B24" s="55" t="n">
        <v>1585.41666666667</v>
      </c>
      <c r="C24" s="39" t="n">
        <f aca="false">B24*$B$2/60/$B$3</f>
        <v>0.566220238095238</v>
      </c>
      <c r="D24" s="39" t="n">
        <v>4433</v>
      </c>
      <c r="E24" s="51" t="n">
        <f aca="false">D24/12</f>
        <v>369.416666666667</v>
      </c>
      <c r="F24" s="56" t="n">
        <v>5525</v>
      </c>
      <c r="G24" s="53" t="n">
        <f aca="false">F24*$B$2/60/$B$3</f>
        <v>1.97321428571429</v>
      </c>
      <c r="H24" s="49" t="n">
        <f aca="false">$H$7*F24</f>
        <v>1336.95077971562</v>
      </c>
      <c r="I24" s="34" t="n">
        <f aca="false">F24*($I$9*12)</f>
        <v>1199191.78641967</v>
      </c>
      <c r="J24" s="34" t="n">
        <f aca="false">I24/12</f>
        <v>99932.6488683057</v>
      </c>
      <c r="K24" s="25" t="str">
        <f aca="false">H37</f>
        <v>4 группа</v>
      </c>
      <c r="L24" s="57" t="n">
        <f aca="false">J37</f>
        <v>31500</v>
      </c>
      <c r="M24" s="34" t="n">
        <f aca="false">F24*$M$9*12</f>
        <v>1336949.90805694</v>
      </c>
      <c r="N24" s="34" t="n">
        <f aca="false">M24/12</f>
        <v>111412.492338078</v>
      </c>
      <c r="O24" s="58" t="n">
        <f aca="false">ROUND((N24),-2)</f>
        <v>111400</v>
      </c>
      <c r="P24" s="25" t="str">
        <f aca="false">M37</f>
        <v>4 группа</v>
      </c>
      <c r="Q24" s="59" t="n">
        <f aca="false">U37</f>
        <v>30300</v>
      </c>
      <c r="S24" s="58" t="n">
        <f aca="false">O24</f>
        <v>111400</v>
      </c>
      <c r="X24" s="50" t="n">
        <v>0</v>
      </c>
      <c r="Y24" s="56" t="n">
        <f aca="false">F24-X24</f>
        <v>5525</v>
      </c>
      <c r="Z24" s="41" t="n">
        <v>74700</v>
      </c>
      <c r="AA24" s="60" t="n">
        <f aca="false">F24*AA8</f>
        <v>114097.20836499</v>
      </c>
      <c r="AB24" s="60"/>
      <c r="AC24" s="60" t="n">
        <v>6</v>
      </c>
      <c r="AD24" s="43" t="n">
        <f aca="false">Прайс!D17</f>
        <v>93600</v>
      </c>
      <c r="AE24" s="61" t="n">
        <f aca="false">AD24/Z24*100-100</f>
        <v>25.3012048192771</v>
      </c>
    </row>
    <row r="25" customFormat="false" ht="15" hidden="false" customHeight="false" outlineLevel="0" collapsed="false">
      <c r="A25" s="54" t="s">
        <v>123</v>
      </c>
      <c r="B25" s="55" t="n">
        <v>16742.0833333333</v>
      </c>
      <c r="C25" s="39" t="n">
        <f aca="false">B25*$B$2/60/$B$3</f>
        <v>5.97931547619048</v>
      </c>
      <c r="D25" s="39" t="n">
        <v>48853</v>
      </c>
      <c r="E25" s="51" t="n">
        <f aca="false">D25/12</f>
        <v>4071.08333333333</v>
      </c>
      <c r="F25" s="56" t="n">
        <v>16686</v>
      </c>
      <c r="G25" s="53" t="n">
        <f aca="false">F25*$B$2/60/$B$3</f>
        <v>5.95928571428571</v>
      </c>
      <c r="H25" s="49" t="n">
        <f aca="false">$H$7*F25</f>
        <v>4037.71234576196</v>
      </c>
      <c r="I25" s="34" t="n">
        <f aca="false">F25*($I$9*12)</f>
        <v>3621667.71913097</v>
      </c>
      <c r="J25" s="34" t="n">
        <f aca="false">I25/12</f>
        <v>301805.643260914</v>
      </c>
      <c r="K25" s="25" t="str">
        <f aca="false">H32</f>
        <v>9 группа</v>
      </c>
      <c r="L25" s="57" t="n">
        <f aca="false">J32</f>
        <v>315000</v>
      </c>
      <c r="M25" s="34" t="n">
        <f aca="false">F25*$M$9*12</f>
        <v>4037709.71327385</v>
      </c>
      <c r="N25" s="34" t="n">
        <f aca="false">M25/12</f>
        <v>336475.809439488</v>
      </c>
      <c r="O25" s="58" t="n">
        <f aca="false">ROUND((N25),-2)</f>
        <v>336500</v>
      </c>
      <c r="P25" s="25" t="str">
        <f aca="false">M32</f>
        <v>9 группа</v>
      </c>
      <c r="Q25" s="59" t="n">
        <f aca="false">U32</f>
        <v>302500</v>
      </c>
      <c r="X25" s="50" t="n">
        <v>2171</v>
      </c>
      <c r="Y25" s="56" t="n">
        <f aca="false">F25-X25</f>
        <v>14515</v>
      </c>
      <c r="Z25" s="41" t="n">
        <v>212900</v>
      </c>
      <c r="AA25" s="60" t="n">
        <f aca="false">F25*AA8</f>
        <v>344583.894801488</v>
      </c>
      <c r="AB25" s="60"/>
      <c r="AC25" s="60" t="n">
        <v>15</v>
      </c>
      <c r="AD25" s="43" t="n">
        <f aca="false">Прайс!D26</f>
        <v>246800</v>
      </c>
      <c r="AE25" s="61" t="n">
        <f aca="false">AD25/Z25*100-100</f>
        <v>15.9229685298262</v>
      </c>
    </row>
    <row r="26" customFormat="false" ht="15" hidden="false" customHeight="false" outlineLevel="0" collapsed="false">
      <c r="A26" s="54" t="s">
        <v>124</v>
      </c>
      <c r="B26" s="55" t="n">
        <v>1154.75</v>
      </c>
      <c r="C26" s="39" t="n">
        <f aca="false">B26*$B$2/60/$B$3</f>
        <v>0.412410714285714</v>
      </c>
      <c r="D26" s="39" t="n">
        <v>5145</v>
      </c>
      <c r="E26" s="51" t="n">
        <f aca="false">D26/12</f>
        <v>428.75</v>
      </c>
      <c r="F26" s="56" t="n">
        <v>3790</v>
      </c>
      <c r="G26" s="53" t="n">
        <f aca="false">F26*$B$2/60/$B$3</f>
        <v>1.35357142857143</v>
      </c>
      <c r="H26" s="49" t="n">
        <f aca="false">$H$7*F26</f>
        <v>917.111937578678</v>
      </c>
      <c r="I26" s="34" t="n">
        <f aca="false">F26*($I$9*12)</f>
        <v>822613.008240823</v>
      </c>
      <c r="J26" s="34" t="n">
        <f aca="false">I26/12</f>
        <v>68551.0840200686</v>
      </c>
      <c r="K26" s="25" t="str">
        <f aca="false">H37</f>
        <v>4 группа</v>
      </c>
      <c r="L26" s="57" t="n">
        <f aca="false">J37</f>
        <v>31500</v>
      </c>
      <c r="M26" s="34" t="n">
        <f aca="false">F26*$M$9*12</f>
        <v>917111.339644487</v>
      </c>
      <c r="N26" s="34" t="n">
        <f aca="false">M26/12</f>
        <v>76425.9449703739</v>
      </c>
      <c r="O26" s="58" t="n">
        <f aca="false">ROUND((N26),-2)</f>
        <v>76400</v>
      </c>
      <c r="P26" s="25" t="str">
        <f aca="false">M37</f>
        <v>4 группа</v>
      </c>
      <c r="Q26" s="59" t="n">
        <f aca="false">U37</f>
        <v>30300</v>
      </c>
      <c r="S26" s="58" t="n">
        <f aca="false">O26</f>
        <v>76400</v>
      </c>
      <c r="X26" s="50" t="n">
        <v>0</v>
      </c>
      <c r="Y26" s="56" t="n">
        <f aca="false">F26-X26</f>
        <v>3790</v>
      </c>
      <c r="Z26" s="41" t="n">
        <v>59600</v>
      </c>
      <c r="AA26" s="60" t="n">
        <f aca="false">F26*AA8</f>
        <v>78267.5872766176</v>
      </c>
      <c r="AB26" s="60"/>
      <c r="AC26" s="60" t="n">
        <v>4</v>
      </c>
      <c r="AD26" s="43" t="n">
        <f aca="false">Прайс!D15</f>
        <v>59600</v>
      </c>
      <c r="AE26" s="61" t="n">
        <f aca="false">AD26/Z26*100-100</f>
        <v>0</v>
      </c>
    </row>
    <row r="27" customFormat="false" ht="15" hidden="false" customHeight="false" outlineLevel="0" collapsed="false">
      <c r="A27" s="54" t="s">
        <v>125</v>
      </c>
      <c r="B27" s="55" t="n">
        <v>5146.66666666667</v>
      </c>
      <c r="C27" s="39" t="n">
        <f aca="false">B27*$B$2/60/$B$3</f>
        <v>1.83809523809524</v>
      </c>
      <c r="D27" s="39" t="n">
        <v>6824</v>
      </c>
      <c r="E27" s="51" t="n">
        <f aca="false">D27/12</f>
        <v>568.666666666667</v>
      </c>
      <c r="F27" s="56" t="n">
        <v>6882</v>
      </c>
      <c r="G27" s="53" t="n">
        <f aca="false">F27*$B$2/60/$B$3</f>
        <v>2.45785714285714</v>
      </c>
      <c r="H27" s="49" t="n">
        <f aca="false">$H$7*F27</f>
        <v>1665.32041013627</v>
      </c>
      <c r="I27" s="34" t="n">
        <f aca="false">F27*($I$9*12)</f>
        <v>1493726.31206157</v>
      </c>
      <c r="J27" s="34" t="n">
        <f aca="false">I27/12</f>
        <v>124477.192671797</v>
      </c>
      <c r="K27" s="25" t="str">
        <f aca="false">H35</f>
        <v>6 группа</v>
      </c>
      <c r="L27" s="57" t="n">
        <f aca="false">J35</f>
        <v>115500</v>
      </c>
      <c r="M27" s="34" t="n">
        <f aca="false">F27*$M$9*12</f>
        <v>1665319.32438875</v>
      </c>
      <c r="N27" s="34" t="n">
        <f aca="false">M27/12</f>
        <v>138776.610365729</v>
      </c>
      <c r="O27" s="58" t="n">
        <f aca="false">ROUND((N27),-2)</f>
        <v>138800</v>
      </c>
      <c r="P27" s="25" t="str">
        <f aca="false">M35</f>
        <v>6 группа</v>
      </c>
      <c r="Q27" s="59" t="n">
        <f aca="false">U35</f>
        <v>98100</v>
      </c>
      <c r="U27" s="58" t="n">
        <f aca="false">O27</f>
        <v>138800</v>
      </c>
      <c r="X27" s="50" t="n">
        <v>0</v>
      </c>
      <c r="Y27" s="56" t="n">
        <f aca="false">F27-X27</f>
        <v>6882</v>
      </c>
      <c r="Z27" s="41" t="n">
        <v>118700</v>
      </c>
      <c r="AA27" s="60" t="n">
        <f aca="false">F27*AA8</f>
        <v>142120.721804138</v>
      </c>
      <c r="AB27" s="60"/>
      <c r="AC27" s="60" t="n">
        <v>7</v>
      </c>
      <c r="AD27" s="62" t="n">
        <f aca="false">Прайс!D18</f>
        <v>110600</v>
      </c>
      <c r="AE27" s="61" t="n">
        <f aca="false">AD27/Z27*100-100</f>
        <v>-6.82392586352148</v>
      </c>
    </row>
    <row r="28" customFormat="false" ht="15" hidden="false" customHeight="false" outlineLevel="0" collapsed="false">
      <c r="A28" s="54" t="s">
        <v>126</v>
      </c>
      <c r="B28" s="55" t="n">
        <v>11345.4166666667</v>
      </c>
      <c r="C28" s="39" t="n">
        <f aca="false">B28*$B$2/60/$B$3</f>
        <v>4.05193452380952</v>
      </c>
      <c r="D28" s="39" t="n">
        <v>43169</v>
      </c>
      <c r="E28" s="51" t="n">
        <f aca="false">D28/12</f>
        <v>3597.41666666667</v>
      </c>
      <c r="F28" s="56" t="n">
        <v>14800</v>
      </c>
      <c r="G28" s="53" t="n">
        <f aca="false">F28*$B$2/60/$B$3</f>
        <v>5.28571428571429</v>
      </c>
      <c r="H28" s="49" t="n">
        <f aca="false">$H$7*F28</f>
        <v>3581.33421534682</v>
      </c>
      <c r="I28" s="34" t="n">
        <f aca="false">F28*($I$9*12)</f>
        <v>3212314.64959477</v>
      </c>
      <c r="J28" s="34" t="n">
        <f aca="false">I28/12</f>
        <v>267692.887466231</v>
      </c>
      <c r="K28" s="25" t="str">
        <f aca="false">H33</f>
        <v>8 группа</v>
      </c>
      <c r="L28" s="57" t="n">
        <f aca="false">J33</f>
        <v>241500</v>
      </c>
      <c r="M28" s="34" t="n">
        <f aca="false">F28*$M$9*12</f>
        <v>3581331.88040591</v>
      </c>
      <c r="N28" s="34" t="n">
        <f aca="false">M28/12</f>
        <v>298444.323367159</v>
      </c>
      <c r="O28" s="58" t="n">
        <f aca="false">ROUND((N28),-2)</f>
        <v>298400</v>
      </c>
      <c r="P28" s="25" t="str">
        <f aca="false">M33</f>
        <v>8 группа</v>
      </c>
      <c r="Q28" s="59" t="n">
        <f aca="false">U33</f>
        <v>209900</v>
      </c>
      <c r="V28" s="58" t="n">
        <f aca="false">O28</f>
        <v>298400</v>
      </c>
      <c r="X28" s="50" t="n">
        <v>0</v>
      </c>
      <c r="Y28" s="56" t="n">
        <f aca="false">F28-X28</f>
        <v>14800</v>
      </c>
      <c r="Z28" s="41" t="n">
        <v>227600</v>
      </c>
      <c r="AA28" s="60" t="n">
        <f aca="false">F28*AA8</f>
        <v>305635.960869113</v>
      </c>
      <c r="AB28" s="60"/>
      <c r="AC28" s="60" t="n">
        <v>15</v>
      </c>
      <c r="AD28" s="43" t="n">
        <f aca="false">Прайс!D26</f>
        <v>246800</v>
      </c>
      <c r="AE28" s="61" t="n">
        <f aca="false">AD28/Z28*100-100</f>
        <v>8.43585237258348</v>
      </c>
    </row>
    <row r="29" customFormat="false" ht="16.5" hidden="false" customHeight="true" outlineLevel="0" collapsed="false">
      <c r="I29" s="34" t="n">
        <f aca="false">SUM(I11:I28)</f>
        <v>31869200</v>
      </c>
      <c r="J29" s="34" t="n">
        <f aca="false">SUM(J11:J28)</f>
        <v>2655766.66666667</v>
      </c>
      <c r="L29" s="34" t="n">
        <f aca="false">SUM(L11:L28)</f>
        <v>2122500</v>
      </c>
      <c r="M29" s="41" t="n">
        <f aca="false">SUM(M11:M28)</f>
        <v>35530200</v>
      </c>
      <c r="N29" s="41" t="n">
        <f aca="false">SUM(N11:N28)</f>
        <v>2960850</v>
      </c>
      <c r="O29" s="60" t="n">
        <f aca="false">SUM(O11:O28)</f>
        <v>2960800</v>
      </c>
      <c r="P29" s="63"/>
      <c r="Q29" s="64" t="n">
        <f aca="false">SUM(Q11:Q28)</f>
        <v>1834300</v>
      </c>
      <c r="Z29" s="65" t="n">
        <f aca="false">SUM(Z11:Z28)</f>
        <v>1955700</v>
      </c>
      <c r="AA29" s="66" t="n">
        <f aca="false">SUM(AA11:AA28)</f>
        <v>3032197.84691972</v>
      </c>
      <c r="AB29" s="66"/>
      <c r="AC29" s="65"/>
      <c r="AD29" s="65" t="e">
        <f aca="false">SUM(AD11:AD28)</f>
        <v>#N/A</v>
      </c>
      <c r="AE29" s="61" t="e">
        <f aca="false">AD29/Z29*100-100</f>
        <v>#N/A</v>
      </c>
    </row>
    <row r="30" customFormat="false" ht="15" hidden="false" customHeight="false" outlineLevel="0" collapsed="false">
      <c r="AA30" s="24" t="n">
        <v>2346800</v>
      </c>
    </row>
    <row r="31" customFormat="false" ht="15" hidden="false" customHeight="false" outlineLevel="0" collapsed="false">
      <c r="A31" s="40" t="s">
        <v>127</v>
      </c>
      <c r="B31" s="24" t="s">
        <v>128</v>
      </c>
      <c r="H31" s="24" t="s">
        <v>129</v>
      </c>
      <c r="I31" s="24" t="s">
        <v>130</v>
      </c>
      <c r="J31" s="24" t="n">
        <v>500000</v>
      </c>
      <c r="M31" s="24" t="s">
        <v>129</v>
      </c>
      <c r="N31" s="24" t="s">
        <v>130</v>
      </c>
      <c r="O31" s="24" t="n">
        <v>500000</v>
      </c>
      <c r="R31" s="24" t="s">
        <v>129</v>
      </c>
      <c r="S31" s="24" t="n">
        <v>17001</v>
      </c>
      <c r="U31" s="39" t="n">
        <v>354300</v>
      </c>
    </row>
    <row r="32" customFormat="false" ht="15" hidden="false" customHeight="false" outlineLevel="0" collapsed="false">
      <c r="A32" s="40" t="s">
        <v>131</v>
      </c>
      <c r="B32" s="24" t="s">
        <v>132</v>
      </c>
      <c r="H32" s="24" t="s">
        <v>133</v>
      </c>
      <c r="I32" s="24" t="s">
        <v>134</v>
      </c>
      <c r="J32" s="24" t="n">
        <v>315000</v>
      </c>
      <c r="M32" s="24" t="s">
        <v>133</v>
      </c>
      <c r="N32" s="24" t="s">
        <v>134</v>
      </c>
      <c r="O32" s="24" t="n">
        <v>315000</v>
      </c>
      <c r="R32" s="24" t="s">
        <v>133</v>
      </c>
      <c r="S32" s="24" t="n">
        <v>13001</v>
      </c>
      <c r="T32" s="24" t="n">
        <v>17000</v>
      </c>
      <c r="U32" s="24" t="n">
        <f aca="false">ROUND(((S32*$M$9+T32*$M$9)/2),-2)</f>
        <v>302500</v>
      </c>
    </row>
    <row r="33" customFormat="false" ht="15" hidden="false" customHeight="false" outlineLevel="0" collapsed="false">
      <c r="H33" s="24" t="s">
        <v>98</v>
      </c>
      <c r="I33" s="24" t="s">
        <v>135</v>
      </c>
      <c r="J33" s="24" t="n">
        <v>241500</v>
      </c>
      <c r="M33" s="24" t="s">
        <v>98</v>
      </c>
      <c r="N33" s="24" t="s">
        <v>135</v>
      </c>
      <c r="O33" s="24" t="n">
        <v>241500</v>
      </c>
      <c r="R33" s="24" t="s">
        <v>98</v>
      </c>
      <c r="S33" s="24" t="n">
        <v>10001</v>
      </c>
      <c r="T33" s="24" t="n">
        <v>13000</v>
      </c>
      <c r="U33" s="39" t="n">
        <v>209900</v>
      </c>
    </row>
    <row r="34" customFormat="false" ht="15" hidden="false" customHeight="false" outlineLevel="0" collapsed="false">
      <c r="H34" s="24" t="s">
        <v>136</v>
      </c>
      <c r="I34" s="24" t="s">
        <v>137</v>
      </c>
      <c r="J34" s="24" t="n">
        <v>175000</v>
      </c>
      <c r="M34" s="24" t="s">
        <v>136</v>
      </c>
      <c r="N34" s="24" t="s">
        <v>137</v>
      </c>
      <c r="O34" s="24" t="n">
        <v>175000</v>
      </c>
      <c r="R34" s="24" t="s">
        <v>136</v>
      </c>
      <c r="S34" s="24" t="n">
        <v>7001</v>
      </c>
      <c r="T34" s="24" t="n">
        <v>10000</v>
      </c>
      <c r="U34" s="24" t="n">
        <f aca="false">ROUND(((S34*$M$9+T34*$M$9)/2),-2)</f>
        <v>171400</v>
      </c>
    </row>
    <row r="35" customFormat="false" ht="15" hidden="false" customHeight="false" outlineLevel="0" collapsed="false">
      <c r="H35" s="24" t="s">
        <v>97</v>
      </c>
      <c r="I35" s="24" t="s">
        <v>138</v>
      </c>
      <c r="J35" s="24" t="n">
        <v>115500</v>
      </c>
      <c r="M35" s="24" t="s">
        <v>97</v>
      </c>
      <c r="N35" s="24" t="s">
        <v>138</v>
      </c>
      <c r="O35" s="24" t="n">
        <v>115500</v>
      </c>
      <c r="R35" s="24" t="s">
        <v>97</v>
      </c>
      <c r="S35" s="24" t="n">
        <v>4001</v>
      </c>
      <c r="T35" s="24" t="n">
        <v>7000</v>
      </c>
      <c r="U35" s="39" t="n">
        <v>98100</v>
      </c>
    </row>
    <row r="36" customFormat="false" ht="15" hidden="false" customHeight="false" outlineLevel="0" collapsed="false">
      <c r="H36" s="24" t="s">
        <v>96</v>
      </c>
      <c r="I36" s="24" t="s">
        <v>139</v>
      </c>
      <c r="J36" s="24" t="n">
        <v>63000</v>
      </c>
      <c r="M36" s="24" t="s">
        <v>96</v>
      </c>
      <c r="N36" s="24" t="s">
        <v>139</v>
      </c>
      <c r="O36" s="24" t="n">
        <v>63000</v>
      </c>
      <c r="R36" s="24" t="s">
        <v>96</v>
      </c>
      <c r="S36" s="24" t="n">
        <v>2001</v>
      </c>
      <c r="T36" s="24" t="n">
        <v>4000</v>
      </c>
      <c r="U36" s="39" t="n">
        <v>65900</v>
      </c>
    </row>
    <row r="37" customFormat="false" ht="15" hidden="false" customHeight="false" outlineLevel="0" collapsed="false">
      <c r="H37" s="24" t="s">
        <v>95</v>
      </c>
      <c r="I37" s="24" t="s">
        <v>140</v>
      </c>
      <c r="J37" s="24" t="n">
        <v>31500</v>
      </c>
      <c r="M37" s="24" t="s">
        <v>95</v>
      </c>
      <c r="N37" s="24" t="s">
        <v>140</v>
      </c>
      <c r="O37" s="24" t="n">
        <v>31500</v>
      </c>
      <c r="R37" s="24" t="s">
        <v>95</v>
      </c>
      <c r="S37" s="24" t="n">
        <v>1001</v>
      </c>
      <c r="T37" s="24" t="n">
        <v>2000</v>
      </c>
      <c r="U37" s="24" t="n">
        <f aca="false">ROUND(((S37*$M$9+T37*$M$9)/2),-2)</f>
        <v>30300</v>
      </c>
    </row>
    <row r="38" customFormat="false" ht="15" hidden="false" customHeight="false" outlineLevel="0" collapsed="false">
      <c r="H38" s="24" t="s">
        <v>141</v>
      </c>
      <c r="I38" s="24" t="s">
        <v>142</v>
      </c>
      <c r="J38" s="24" t="n">
        <v>15000</v>
      </c>
      <c r="M38" s="24" t="s">
        <v>141</v>
      </c>
      <c r="N38" s="24" t="s">
        <v>142</v>
      </c>
      <c r="O38" s="24" t="n">
        <v>15000</v>
      </c>
      <c r="R38" s="24" t="s">
        <v>141</v>
      </c>
      <c r="S38" s="24" t="n">
        <v>501</v>
      </c>
      <c r="T38" s="24" t="n">
        <v>1000</v>
      </c>
      <c r="U38" s="24" t="n">
        <f aca="false">ROUND(((S38*$M$9+T38*$M$9)/2),-2)</f>
        <v>15100</v>
      </c>
    </row>
    <row r="39" customFormat="false" ht="15" hidden="false" customHeight="false" outlineLevel="0" collapsed="false">
      <c r="H39" s="24" t="s">
        <v>143</v>
      </c>
      <c r="I39" s="24" t="s">
        <v>144</v>
      </c>
      <c r="J39" s="24" t="n">
        <v>6300</v>
      </c>
      <c r="M39" s="24" t="s">
        <v>143</v>
      </c>
      <c r="N39" s="24" t="s">
        <v>144</v>
      </c>
      <c r="O39" s="24" t="n">
        <v>6300</v>
      </c>
      <c r="R39" s="24" t="s">
        <v>143</v>
      </c>
      <c r="S39" s="24" t="n">
        <v>101</v>
      </c>
      <c r="T39" s="24" t="n">
        <v>500</v>
      </c>
      <c r="U39" s="24" t="n">
        <f aca="false">ROUND(((S39*$M$9+T39*$M$9)/2),-2)</f>
        <v>6100</v>
      </c>
    </row>
    <row r="40" customFormat="false" ht="15" hidden="false" customHeight="false" outlineLevel="0" collapsed="false">
      <c r="H40" s="24" t="s">
        <v>145</v>
      </c>
      <c r="I40" s="24" t="s">
        <v>146</v>
      </c>
      <c r="J40" s="24" t="n">
        <v>1000</v>
      </c>
      <c r="M40" s="24" t="s">
        <v>145</v>
      </c>
      <c r="N40" s="24" t="s">
        <v>146</v>
      </c>
      <c r="O40" s="24" t="n">
        <v>1000</v>
      </c>
      <c r="R40" s="24" t="s">
        <v>145</v>
      </c>
      <c r="S40" s="24" t="n">
        <v>1</v>
      </c>
      <c r="T40" s="24" t="n">
        <v>100</v>
      </c>
      <c r="U40" s="39" t="n">
        <v>1000</v>
      </c>
    </row>
  </sheetData>
  <mergeCells count="1">
    <mergeCell ref="A5:H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ColWidth="18.42578125" defaultRowHeight="18.75" zeroHeight="false" outlineLevelRow="0" outlineLevelCol="0"/>
  <cols>
    <col collapsed="false" customWidth="false" hidden="false" outlineLevel="0" max="6" min="1" style="67" width="18.42"/>
    <col collapsed="false" customWidth="true" hidden="false" outlineLevel="0" max="7" min="7" style="67" width="19.42"/>
    <col collapsed="false" customWidth="true" hidden="false" outlineLevel="0" max="8" min="8" style="67" width="19.71"/>
    <col collapsed="false" customWidth="false" hidden="false" outlineLevel="0" max="9" min="9" style="67" width="18.42"/>
    <col collapsed="false" customWidth="true" hidden="true" outlineLevel="0" max="10" min="10" style="67" width="11.53"/>
    <col collapsed="false" customWidth="false" hidden="false" outlineLevel="0" max="16384" min="11" style="67" width="18.42"/>
  </cols>
  <sheetData>
    <row r="1" customFormat="false" ht="18.75" hidden="false" customHeight="true" outlineLevel="0" collapsed="false">
      <c r="A1" s="68" t="s">
        <v>147</v>
      </c>
      <c r="B1" s="68"/>
      <c r="C1" s="68"/>
      <c r="D1" s="68"/>
      <c r="E1" s="68"/>
      <c r="F1" s="68"/>
      <c r="G1" s="68"/>
      <c r="H1" s="68"/>
      <c r="I1" s="68"/>
      <c r="J1" s="68"/>
    </row>
    <row r="2" customFormat="false" ht="18.75" hidden="false" customHeight="true" outlineLevel="0" collapsed="false">
      <c r="A2" s="68" t="s">
        <v>148</v>
      </c>
      <c r="B2" s="68"/>
      <c r="C2" s="68"/>
      <c r="D2" s="68"/>
      <c r="E2" s="68"/>
      <c r="F2" s="68"/>
      <c r="G2" s="68"/>
      <c r="H2" s="68"/>
      <c r="I2" s="68"/>
      <c r="J2" s="68"/>
    </row>
    <row r="3" customFormat="false" ht="18.75" hidden="false" customHeight="true" outlineLevel="0" collapsed="false">
      <c r="A3" s="68" t="s">
        <v>149</v>
      </c>
      <c r="B3" s="68"/>
      <c r="C3" s="68"/>
      <c r="D3" s="68"/>
      <c r="E3" s="68"/>
      <c r="F3" s="68"/>
      <c r="G3" s="68"/>
      <c r="H3" s="68"/>
      <c r="I3" s="68"/>
      <c r="J3" s="68"/>
    </row>
    <row r="4" customFormat="false" ht="18.75" hidden="false" customHeight="false" outlineLevel="0" collapsed="false">
      <c r="A4" s="69"/>
      <c r="B4" s="70"/>
      <c r="C4" s="70"/>
      <c r="D4" s="70"/>
      <c r="E4" s="70"/>
      <c r="F4" s="71"/>
      <c r="G4" s="72"/>
      <c r="H4" s="73"/>
      <c r="I4" s="74"/>
      <c r="J4" s="75" t="s">
        <v>150</v>
      </c>
    </row>
    <row r="5" customFormat="false" ht="75" hidden="false" customHeight="false" outlineLevel="0" collapsed="false">
      <c r="A5" s="76" t="s">
        <v>151</v>
      </c>
      <c r="B5" s="76" t="s">
        <v>152</v>
      </c>
      <c r="C5" s="76" t="s">
        <v>153</v>
      </c>
      <c r="D5" s="76" t="s">
        <v>154</v>
      </c>
      <c r="E5" s="76" t="s">
        <v>155</v>
      </c>
      <c r="F5" s="76" t="s">
        <v>156</v>
      </c>
      <c r="G5" s="76" t="s">
        <v>157</v>
      </c>
      <c r="H5" s="76" t="s">
        <v>158</v>
      </c>
      <c r="I5" s="76" t="s">
        <v>159</v>
      </c>
      <c r="J5" s="76" t="s">
        <v>160</v>
      </c>
      <c r="K5" s="76" t="s">
        <v>160</v>
      </c>
      <c r="L5" s="77"/>
    </row>
    <row r="6" s="81" customFormat="true" ht="15.75" hidden="false" customHeight="false" outlineLevel="0" collapsed="false">
      <c r="A6" s="78" t="n">
        <v>1</v>
      </c>
      <c r="B6" s="78" t="n">
        <v>2</v>
      </c>
      <c r="C6" s="78" t="n">
        <v>3</v>
      </c>
      <c r="D6" s="78" t="n">
        <v>4</v>
      </c>
      <c r="E6" s="78" t="n">
        <v>5</v>
      </c>
      <c r="F6" s="78" t="n">
        <v>6</v>
      </c>
      <c r="G6" s="78" t="n">
        <v>7</v>
      </c>
      <c r="H6" s="78" t="n">
        <v>8</v>
      </c>
      <c r="I6" s="78" t="n">
        <v>9</v>
      </c>
      <c r="J6" s="78" t="n">
        <v>10</v>
      </c>
      <c r="K6" s="79" t="n">
        <v>10</v>
      </c>
      <c r="L6" s="80"/>
    </row>
    <row r="7" customFormat="false" ht="18.75" hidden="false" customHeight="false" outlineLevel="0" collapsed="false">
      <c r="A7" s="82" t="n">
        <f aca="false">'ЗП осн перс'!M9</f>
        <v>23943551.466</v>
      </c>
      <c r="B7" s="82" t="n">
        <f aca="false">'ЗП осн перс'!M10</f>
        <v>7230952.542732</v>
      </c>
      <c r="C7" s="83" t="n">
        <f aca="false">МЗ!E15</f>
        <v>1240800</v>
      </c>
      <c r="D7" s="82" t="n">
        <f aca="false">'ЗП сод перс'!J16</f>
        <v>1592868.879</v>
      </c>
      <c r="E7" s="82" t="n">
        <f aca="false">'ЗП сод перс'!J18</f>
        <v>481046.401458</v>
      </c>
      <c r="F7" s="82" t="n">
        <f aca="false">SUM(A7:E7)</f>
        <v>34489219.28919</v>
      </c>
      <c r="G7" s="84" t="n">
        <v>0.055</v>
      </c>
      <c r="H7" s="82" t="n">
        <f aca="false">F7*G7</f>
        <v>1896907.06090545</v>
      </c>
      <c r="I7" s="82" t="n">
        <f aca="false">F7+H7</f>
        <v>36386126.3500955</v>
      </c>
      <c r="J7" s="85" t="n">
        <f aca="false">I7/12/'[1]расчет ч оператор'!F9</f>
        <v>30.4294160175751</v>
      </c>
      <c r="K7" s="86" t="n">
        <f aca="false">I7/1761948</f>
        <v>20.6510784371023</v>
      </c>
      <c r="L7" s="87"/>
    </row>
    <row r="8" customFormat="false" ht="18.75" hidden="false" customHeight="false" outlineLevel="0" collapsed="false">
      <c r="A8" s="88" t="n">
        <f aca="false">A7*100/I7</f>
        <v>65.8040683848095</v>
      </c>
      <c r="D8" s="89" t="n">
        <f aca="false">D7*100/I7</f>
        <v>4.37768193204722</v>
      </c>
    </row>
    <row r="9" customFormat="false" ht="18.75" hidden="false" customHeight="false" outlineLevel="0" collapsed="false">
      <c r="J9" s="90"/>
    </row>
    <row r="10" customFormat="false" ht="18.75" hidden="false" customHeight="false" outlineLevel="0" collapsed="false">
      <c r="A10" s="81"/>
      <c r="B10" s="81"/>
      <c r="C10" s="81"/>
      <c r="D10" s="81"/>
      <c r="E10" s="81"/>
    </row>
    <row r="14" customFormat="false" ht="18.75" hidden="false" customHeight="false" outlineLevel="0" collapsed="false">
      <c r="I14" s="91"/>
    </row>
    <row r="15" customFormat="false" ht="18.75" hidden="false" customHeight="false" outlineLevel="0" collapsed="false">
      <c r="I15" s="91"/>
      <c r="J15" s="91"/>
    </row>
    <row r="18" customFormat="false" ht="18.75" hidden="false" customHeight="false" outlineLevel="0" collapsed="false">
      <c r="I18" s="92"/>
      <c r="J18" s="92"/>
    </row>
  </sheetData>
  <mergeCells count="3">
    <mergeCell ref="A1:J1"/>
    <mergeCell ref="A2:J2"/>
    <mergeCell ref="A3:J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Q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21.57"/>
    <col collapsed="false" customWidth="true" hidden="false" outlineLevel="0" max="3" min="3" style="0" width="15"/>
    <col collapsed="false" customWidth="true" hidden="false" outlineLevel="0" max="4" min="4" style="0" width="13.71"/>
    <col collapsed="false" customWidth="true" hidden="false" outlineLevel="0" max="5" min="5" style="0" width="17.57"/>
    <col collapsed="false" customWidth="true" hidden="true" outlineLevel="0" max="6" min="6" style="0" width="14.71"/>
    <col collapsed="false" customWidth="true" hidden="true" outlineLevel="0" max="7" min="7" style="0" width="14.42"/>
    <col collapsed="false" customWidth="true" hidden="false" outlineLevel="0" max="8" min="8" style="0" width="7"/>
    <col collapsed="false" customWidth="true" hidden="false" outlineLevel="0" max="9" min="9" style="0" width="14.42"/>
    <col collapsed="false" customWidth="true" hidden="false" outlineLevel="0" max="10" min="10" style="0" width="8.29"/>
    <col collapsed="false" customWidth="true" hidden="false" outlineLevel="0" max="11" min="11" style="0" width="14.29"/>
    <col collapsed="false" customWidth="true" hidden="false" outlineLevel="0" max="12" min="12" style="0" width="15.71"/>
    <col collapsed="false" customWidth="true" hidden="false" outlineLevel="0" max="13" min="13" style="0" width="17.15"/>
    <col collapsed="false" customWidth="true" hidden="false" outlineLevel="0" max="14" min="14" style="0" width="13.86"/>
    <col collapsed="false" customWidth="true" hidden="false" outlineLevel="0" max="15" min="15" style="0" width="13.15"/>
    <col collapsed="false" customWidth="true" hidden="false" outlineLevel="0" max="17" min="17" style="0" width="15.71"/>
  </cols>
  <sheetData>
    <row r="3" s="93" customFormat="true" ht="15.75" hidden="false" customHeight="false" outlineLevel="0" collapsed="false">
      <c r="A3" s="93" t="s">
        <v>161</v>
      </c>
      <c r="B3" s="94" t="s">
        <v>162</v>
      </c>
      <c r="E3" s="95" t="s">
        <v>163</v>
      </c>
      <c r="M3" s="93" t="s">
        <v>164</v>
      </c>
    </row>
    <row r="4" s="93" customFormat="true" ht="15.75" hidden="false" customHeight="false" outlineLevel="0" collapsed="false"/>
    <row r="5" s="99" customFormat="true" ht="78.75" hidden="false" customHeight="true" outlineLevel="0" collapsed="false">
      <c r="A5" s="96" t="s">
        <v>4</v>
      </c>
      <c r="B5" s="96" t="s">
        <v>165</v>
      </c>
      <c r="C5" s="96" t="s">
        <v>166</v>
      </c>
      <c r="D5" s="97" t="s">
        <v>167</v>
      </c>
      <c r="E5" s="96" t="s">
        <v>168</v>
      </c>
      <c r="F5" s="96" t="s">
        <v>169</v>
      </c>
      <c r="G5" s="96"/>
      <c r="H5" s="96" t="s">
        <v>170</v>
      </c>
      <c r="I5" s="96"/>
      <c r="J5" s="96" t="s">
        <v>171</v>
      </c>
      <c r="K5" s="96"/>
      <c r="L5" s="96" t="s">
        <v>172</v>
      </c>
      <c r="M5" s="96" t="s">
        <v>173</v>
      </c>
      <c r="N5" s="98" t="s">
        <v>174</v>
      </c>
    </row>
    <row r="6" s="99" customFormat="true" ht="19.5" hidden="false" customHeight="true" outlineLevel="0" collapsed="false">
      <c r="A6" s="96"/>
      <c r="B6" s="96"/>
      <c r="C6" s="96"/>
      <c r="D6" s="97"/>
      <c r="E6" s="96"/>
      <c r="F6" s="96" t="s">
        <v>175</v>
      </c>
      <c r="G6" s="96" t="s">
        <v>176</v>
      </c>
      <c r="H6" s="96" t="s">
        <v>175</v>
      </c>
      <c r="I6" s="96" t="s">
        <v>177</v>
      </c>
      <c r="J6" s="96" t="s">
        <v>175</v>
      </c>
      <c r="K6" s="96" t="s">
        <v>177</v>
      </c>
      <c r="L6" s="96"/>
      <c r="M6" s="96"/>
      <c r="N6" s="98"/>
    </row>
    <row r="7" s="4" customFormat="true" ht="31.5" hidden="false" customHeight="false" outlineLevel="0" collapsed="false">
      <c r="A7" s="100" t="n">
        <v>1</v>
      </c>
      <c r="B7" s="101" t="s">
        <v>178</v>
      </c>
      <c r="C7" s="102" t="n">
        <v>15449</v>
      </c>
      <c r="D7" s="103" t="n">
        <v>3</v>
      </c>
      <c r="E7" s="104" t="n">
        <f aca="false">C7*D7</f>
        <v>46347</v>
      </c>
      <c r="F7" s="105" t="n">
        <v>0</v>
      </c>
      <c r="G7" s="104" t="n">
        <f aca="false">E7*F7</f>
        <v>0</v>
      </c>
      <c r="H7" s="105" t="n">
        <v>0.05</v>
      </c>
      <c r="I7" s="104" t="n">
        <f aca="false">E7*H7</f>
        <v>2317.35</v>
      </c>
      <c r="J7" s="105" t="n">
        <v>1.6</v>
      </c>
      <c r="K7" s="104" t="n">
        <f aca="false">E7*J7</f>
        <v>74155.2</v>
      </c>
      <c r="L7" s="104" t="n">
        <f aca="false">E7+I7+K7</f>
        <v>122819.55</v>
      </c>
      <c r="M7" s="104" t="n">
        <f aca="false">L7*9+L7*1.04*3</f>
        <v>1488572.946</v>
      </c>
      <c r="N7" s="98"/>
    </row>
    <row r="8" s="4" customFormat="true" ht="31.5" hidden="false" customHeight="false" outlineLevel="0" collapsed="false">
      <c r="A8" s="100" t="n">
        <v>2</v>
      </c>
      <c r="B8" s="106" t="s">
        <v>179</v>
      </c>
      <c r="C8" s="107" t="n">
        <v>13445</v>
      </c>
      <c r="D8" s="103" t="n">
        <v>52</v>
      </c>
      <c r="E8" s="104" t="n">
        <f aca="false">C8*D8</f>
        <v>699140</v>
      </c>
      <c r="F8" s="105" t="n">
        <v>0</v>
      </c>
      <c r="G8" s="104" t="n">
        <f aca="false">E8*F8</f>
        <v>0</v>
      </c>
      <c r="H8" s="105" t="n">
        <v>0.05</v>
      </c>
      <c r="I8" s="104" t="n">
        <f aca="false">E8*H8</f>
        <v>34957</v>
      </c>
      <c r="J8" s="105" t="n">
        <v>1.6</v>
      </c>
      <c r="K8" s="104" t="n">
        <f aca="false">E8*J8</f>
        <v>1118624</v>
      </c>
      <c r="L8" s="104" t="n">
        <f aca="false">E8+I8+K8</f>
        <v>1852721</v>
      </c>
      <c r="M8" s="104" t="n">
        <f aca="false">L8*9+L8*1.04*3</f>
        <v>22454978.52</v>
      </c>
      <c r="N8" s="98"/>
    </row>
    <row r="9" s="93" customFormat="true" ht="15.75" hidden="false" customHeight="false" outlineLevel="0" collapsed="false">
      <c r="M9" s="108" t="n">
        <f aca="false">SUM(M7:M8)</f>
        <v>23943551.466</v>
      </c>
    </row>
    <row r="10" s="93" customFormat="true" ht="21.75" hidden="false" customHeight="true" outlineLevel="0" collapsed="false">
      <c r="C10" s="109"/>
      <c r="E10" s="93" t="s">
        <v>180</v>
      </c>
      <c r="L10" s="110" t="n">
        <v>0.302</v>
      </c>
      <c r="M10" s="111" t="n">
        <f aca="false">M9*L10</f>
        <v>7230952.542732</v>
      </c>
    </row>
    <row r="11" s="93" customFormat="true" ht="24" hidden="false" customHeight="true" outlineLevel="0" collapsed="false">
      <c r="E11" s="93" t="s">
        <v>181</v>
      </c>
      <c r="M11" s="112" t="n">
        <f aca="false">M9+M10</f>
        <v>31174504.008732</v>
      </c>
      <c r="N11" s="113" t="s">
        <v>182</v>
      </c>
    </row>
    <row r="12" s="93" customFormat="true" ht="15.75" hidden="true" customHeight="false" outlineLevel="0" collapsed="false">
      <c r="M12" s="114"/>
    </row>
    <row r="13" s="93" customFormat="true" ht="15.75" hidden="true" customHeight="false" outlineLevel="0" collapsed="false">
      <c r="M13" s="115" t="n">
        <v>24406863.2514</v>
      </c>
      <c r="N13" s="93" t="s">
        <v>183</v>
      </c>
    </row>
    <row r="14" s="67" customFormat="true" ht="18.75" hidden="true" customHeight="false" outlineLevel="0" collapsed="false">
      <c r="A14" s="81"/>
      <c r="B14" s="81"/>
      <c r="C14" s="81"/>
      <c r="D14" s="81"/>
      <c r="E14" s="81"/>
    </row>
    <row r="15" s="93" customFormat="true" ht="15.75" hidden="true" customHeight="false" outlineLevel="0" collapsed="false"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</row>
    <row r="16" s="93" customFormat="true" ht="15.75" hidden="true" customHeight="false" outlineLevel="0" collapsed="false">
      <c r="C16" s="116"/>
      <c r="D16" s="116"/>
      <c r="E16" s="116"/>
      <c r="F16" s="116"/>
      <c r="G16" s="116"/>
      <c r="H16" s="116"/>
      <c r="I16" s="116"/>
      <c r="J16" s="116"/>
      <c r="K16" s="116"/>
      <c r="L16" s="117" t="s">
        <v>184</v>
      </c>
      <c r="M16" s="117" t="s">
        <v>106</v>
      </c>
      <c r="N16" s="117" t="s">
        <v>185</v>
      </c>
      <c r="O16" s="118" t="s">
        <v>186</v>
      </c>
      <c r="P16" s="118"/>
      <c r="Q16" s="117" t="s">
        <v>187</v>
      </c>
    </row>
    <row r="17" s="93" customFormat="true" ht="15.75" hidden="true" customHeight="false" outlineLevel="0" collapsed="false">
      <c r="C17" s="116"/>
      <c r="D17" s="116"/>
      <c r="E17" s="116"/>
      <c r="F17" s="116"/>
      <c r="G17" s="116"/>
      <c r="H17" s="116"/>
      <c r="I17" s="116"/>
      <c r="J17" s="116"/>
      <c r="K17" s="116"/>
      <c r="L17" s="119" t="n">
        <v>11590</v>
      </c>
      <c r="M17" s="117" t="n">
        <v>1.16</v>
      </c>
      <c r="N17" s="120" t="n">
        <f aca="false">L17*M17</f>
        <v>13444.4</v>
      </c>
      <c r="O17" s="117" t="n">
        <v>160</v>
      </c>
      <c r="P17" s="117" t="n">
        <f aca="false">N17/100*O17</f>
        <v>21511.04</v>
      </c>
      <c r="Q17" s="120" t="n">
        <f aca="false">N17+P17</f>
        <v>34955.44</v>
      </c>
    </row>
    <row r="18" s="93" customFormat="true" ht="15.75" hidden="true" customHeight="false" outlineLevel="0" collapsed="false">
      <c r="C18" s="116"/>
      <c r="D18" s="116"/>
      <c r="E18" s="116"/>
      <c r="F18" s="116"/>
      <c r="G18" s="116"/>
      <c r="H18" s="116"/>
      <c r="I18" s="116"/>
      <c r="J18" s="116"/>
      <c r="K18" s="116"/>
      <c r="L18" s="119" t="n">
        <v>13793</v>
      </c>
      <c r="M18" s="117" t="n">
        <v>1.12</v>
      </c>
      <c r="N18" s="120" t="n">
        <f aca="false">L18*M18</f>
        <v>15448.16</v>
      </c>
      <c r="O18" s="117" t="n">
        <v>160</v>
      </c>
      <c r="P18" s="117" t="n">
        <f aca="false">N18/100*O18</f>
        <v>24717.056</v>
      </c>
      <c r="Q18" s="120" t="n">
        <f aca="false">N18+P18</f>
        <v>40165.216</v>
      </c>
    </row>
    <row r="19" s="93" customFormat="true" ht="15.75" hidden="true" customHeight="false" outlineLevel="0" collapsed="false"/>
    <row r="20" s="93" customFormat="true" ht="15.75" hidden="true" customHeight="false" outlineLevel="0" collapsed="false"/>
    <row r="21" s="93" customFormat="true" ht="15.75" hidden="true" customHeight="false" outlineLevel="0" collapsed="false"/>
    <row r="22" s="93" customFormat="true" ht="15.75" hidden="true" customHeight="false" outlineLevel="0" collapsed="false"/>
    <row r="23" s="93" customFormat="true" ht="15.75" hidden="false" customHeight="false" outlineLevel="0" collapsed="false"/>
    <row r="24" s="93" customFormat="true" ht="15.75" hidden="false" customHeight="false" outlineLevel="0" collapsed="false"/>
    <row r="25" s="93" customFormat="true" ht="15.75" hidden="false" customHeight="false" outlineLevel="0" collapsed="false"/>
    <row r="26" s="93" customFormat="true" ht="15.75" hidden="false" customHeight="false" outlineLevel="0" collapsed="false"/>
    <row r="27" s="93" customFormat="true" ht="15.75" hidden="false" customHeight="false" outlineLevel="0" collapsed="false"/>
    <row r="28" s="93" customFormat="true" ht="15.75" hidden="false" customHeight="false" outlineLevel="0" collapsed="false"/>
    <row r="29" s="93" customFormat="true" ht="15.75" hidden="false" customHeight="false" outlineLevel="0" collapsed="false"/>
    <row r="30" s="93" customFormat="true" ht="15.75" hidden="false" customHeight="false" outlineLevel="0" collapsed="false"/>
    <row r="31" s="93" customFormat="true" ht="15.75" hidden="false" customHeight="false" outlineLevel="0" collapsed="false"/>
    <row r="32" s="93" customFormat="true" ht="15.75" hidden="false" customHeight="false" outlineLevel="0" collapsed="false"/>
    <row r="33" s="93" customFormat="true" ht="15.75" hidden="false" customHeight="false" outlineLevel="0" collapsed="false"/>
    <row r="34" s="93" customFormat="true" ht="15.75" hidden="false" customHeight="false" outlineLevel="0" collapsed="false"/>
    <row r="35" s="93" customFormat="true" ht="15.75" hidden="false" customHeight="false" outlineLevel="0" collapsed="false"/>
    <row r="36" s="93" customFormat="true" ht="15.75" hidden="false" customHeight="false" outlineLevel="0" collapsed="false"/>
    <row r="37" s="93" customFormat="true" ht="15.75" hidden="false" customHeight="false" outlineLevel="0" collapsed="false"/>
    <row r="38" s="93" customFormat="true" ht="15.75" hidden="false" customHeight="false" outlineLevel="0" collapsed="false"/>
    <row r="39" s="93" customFormat="true" ht="15.75" hidden="false" customHeight="false" outlineLevel="0" collapsed="false"/>
    <row r="40" s="93" customFormat="true" ht="15.75" hidden="false" customHeight="false" outlineLevel="0" collapsed="false"/>
    <row r="41" s="93" customFormat="true" ht="15.75" hidden="false" customHeight="false" outlineLevel="0" collapsed="false"/>
    <row r="42" s="93" customFormat="true" ht="15.75" hidden="false" customHeight="false" outlineLevel="0" collapsed="false"/>
    <row r="43" s="93" customFormat="true" ht="15.75" hidden="false" customHeight="false" outlineLevel="0" collapsed="false"/>
    <row r="44" s="93" customFormat="true" ht="15.75" hidden="false" customHeight="false" outlineLevel="0" collapsed="false"/>
    <row r="45" s="93" customFormat="true" ht="15.75" hidden="false" customHeight="false" outlineLevel="0" collapsed="false"/>
    <row r="46" s="93" customFormat="true" ht="15.75" hidden="false" customHeight="false" outlineLevel="0" collapsed="false"/>
    <row r="47" s="93" customFormat="true" ht="15.75" hidden="false" customHeight="false" outlineLevel="0" collapsed="false"/>
    <row r="48" s="93" customFormat="true" ht="15.75" hidden="false" customHeight="false" outlineLevel="0" collapsed="false"/>
    <row r="49" s="93" customFormat="true" ht="15.75" hidden="false" customHeight="false" outlineLevel="0" collapsed="false"/>
    <row r="50" s="93" customFormat="true" ht="15.75" hidden="false" customHeight="false" outlineLevel="0" collapsed="false"/>
    <row r="51" s="93" customFormat="true" ht="15.75" hidden="false" customHeight="false" outlineLevel="0" collapsed="false"/>
    <row r="52" s="93" customFormat="true" ht="15.75" hidden="false" customHeight="false" outlineLevel="0" collapsed="false"/>
    <row r="53" s="93" customFormat="true" ht="15.75" hidden="false" customHeight="false" outlineLevel="0" collapsed="false"/>
    <row r="54" s="93" customFormat="true" ht="15.75" hidden="false" customHeight="false" outlineLevel="0" collapsed="false"/>
    <row r="55" s="93" customFormat="true" ht="15.75" hidden="false" customHeight="false" outlineLevel="0" collapsed="false"/>
    <row r="56" s="93" customFormat="true" ht="15.75" hidden="false" customHeight="false" outlineLevel="0" collapsed="false"/>
    <row r="57" s="93" customFormat="true" ht="15.75" hidden="false" customHeight="false" outlineLevel="0" collapsed="false"/>
    <row r="58" s="93" customFormat="true" ht="15.75" hidden="false" customHeight="false" outlineLevel="0" collapsed="false"/>
    <row r="59" s="93" customFormat="true" ht="15.75" hidden="false" customHeight="false" outlineLevel="0" collapsed="false"/>
    <row r="60" s="93" customFormat="true" ht="15.75" hidden="false" customHeight="false" outlineLevel="0" collapsed="false"/>
    <row r="61" s="93" customFormat="true" ht="15.75" hidden="false" customHeight="false" outlineLevel="0" collapsed="false"/>
    <row r="62" s="93" customFormat="true" ht="15.75" hidden="false" customHeight="false" outlineLevel="0" collapsed="false"/>
    <row r="63" s="93" customFormat="true" ht="15.75" hidden="false" customHeight="false" outlineLevel="0" collapsed="false"/>
    <row r="64" s="93" customFormat="true" ht="15.75" hidden="false" customHeight="false" outlineLevel="0" collapsed="false"/>
    <row r="65" s="93" customFormat="true" ht="15.75" hidden="false" customHeight="false" outlineLevel="0" collapsed="false"/>
    <row r="66" s="93" customFormat="true" ht="15.75" hidden="false" customHeight="false" outlineLevel="0" collapsed="false"/>
    <row r="67" s="93" customFormat="true" ht="15.75" hidden="false" customHeight="false" outlineLevel="0" collapsed="false"/>
    <row r="68" s="93" customFormat="true" ht="15.75" hidden="false" customHeight="false" outlineLevel="0" collapsed="false"/>
  </sheetData>
  <mergeCells count="12">
    <mergeCell ref="A5:A6"/>
    <mergeCell ref="B5:B6"/>
    <mergeCell ref="C5:C6"/>
    <mergeCell ref="D5:D6"/>
    <mergeCell ref="E5:E6"/>
    <mergeCell ref="F5:G5"/>
    <mergeCell ref="H5:I5"/>
    <mergeCell ref="J5:K5"/>
    <mergeCell ref="L5:L6"/>
    <mergeCell ref="M5:M6"/>
    <mergeCell ref="N5:N8"/>
    <mergeCell ref="O16:P1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21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M19" activeCellId="0" sqref="M19"/>
    </sheetView>
  </sheetViews>
  <sheetFormatPr defaultColWidth="9.1484375" defaultRowHeight="15.75" zeroHeight="false" outlineLevelRow="0" outlineLevelCol="0"/>
  <cols>
    <col collapsed="false" customWidth="false" hidden="false" outlineLevel="0" max="1" min="1" style="93" width="9.14"/>
    <col collapsed="false" customWidth="true" hidden="false" outlineLevel="0" max="2" min="2" style="99" width="26.29"/>
    <col collapsed="false" customWidth="true" hidden="false" outlineLevel="0" max="3" min="3" style="93" width="60.15"/>
    <col collapsed="false" customWidth="true" hidden="false" outlineLevel="0" max="4" min="4" style="121" width="14.29"/>
    <col collapsed="false" customWidth="true" hidden="false" outlineLevel="0" max="5" min="5" style="93" width="16.57"/>
    <col collapsed="false" customWidth="false" hidden="false" outlineLevel="0" max="8" min="6" style="93" width="9.14"/>
    <col collapsed="false" customWidth="true" hidden="false" outlineLevel="0" max="9" min="9" style="93" width="12"/>
    <col collapsed="false" customWidth="false" hidden="false" outlineLevel="0" max="16384" min="10" style="93" width="9.14"/>
  </cols>
  <sheetData>
    <row r="2" customFormat="false" ht="15.75" hidden="false" customHeight="false" outlineLevel="0" collapsed="false">
      <c r="A2" s="93" t="s">
        <v>188</v>
      </c>
      <c r="B2" s="122"/>
      <c r="C2" s="123"/>
      <c r="E2" s="95" t="n">
        <v>2025</v>
      </c>
    </row>
    <row r="3" customFormat="false" ht="15.75" hidden="false" customHeight="false" outlineLevel="0" collapsed="false">
      <c r="A3" s="124" t="s">
        <v>189</v>
      </c>
      <c r="B3" s="124"/>
      <c r="C3" s="124"/>
      <c r="D3" s="124"/>
      <c r="E3" s="124"/>
    </row>
    <row r="4" customFormat="false" ht="16.5" hidden="false" customHeight="false" outlineLevel="0" collapsed="false">
      <c r="A4" s="125"/>
      <c r="B4" s="126"/>
    </row>
    <row r="5" customFormat="false" ht="31.5" hidden="false" customHeight="false" outlineLevel="0" collapsed="false">
      <c r="A5" s="127" t="s">
        <v>190</v>
      </c>
      <c r="B5" s="128" t="s">
        <v>191</v>
      </c>
      <c r="C5" s="129" t="s">
        <v>192</v>
      </c>
      <c r="D5" s="130" t="s">
        <v>193</v>
      </c>
      <c r="E5" s="131" t="s">
        <v>194</v>
      </c>
      <c r="H5" s="132"/>
      <c r="I5" s="132"/>
    </row>
    <row r="6" customFormat="false" ht="21" hidden="false" customHeight="true" outlineLevel="0" collapsed="false">
      <c r="A6" s="133"/>
      <c r="B6" s="134"/>
      <c r="C6" s="135" t="s">
        <v>195</v>
      </c>
      <c r="D6" s="136" t="n">
        <v>3500</v>
      </c>
      <c r="E6" s="137" t="n">
        <f aca="false">D6*12</f>
        <v>42000</v>
      </c>
    </row>
    <row r="7" customFormat="false" ht="21" hidden="false" customHeight="true" outlineLevel="0" collapsed="false">
      <c r="A7" s="133"/>
      <c r="B7" s="134"/>
      <c r="C7" s="117" t="s">
        <v>196</v>
      </c>
      <c r="D7" s="138" t="n">
        <v>8300</v>
      </c>
      <c r="E7" s="139" t="n">
        <f aca="false">D7*12</f>
        <v>99600</v>
      </c>
    </row>
    <row r="8" s="144" customFormat="true" ht="21" hidden="false" customHeight="true" outlineLevel="0" collapsed="false">
      <c r="A8" s="140" t="n">
        <v>224</v>
      </c>
      <c r="B8" s="141" t="s">
        <v>197</v>
      </c>
      <c r="C8" s="142" t="s">
        <v>198</v>
      </c>
      <c r="D8" s="143" t="n">
        <v>23000</v>
      </c>
      <c r="E8" s="139" t="n">
        <f aca="false">D8*12</f>
        <v>276000</v>
      </c>
    </row>
    <row r="9" s="144" customFormat="true" ht="21" hidden="false" customHeight="true" outlineLevel="0" collapsed="false">
      <c r="A9" s="140"/>
      <c r="B9" s="141"/>
      <c r="C9" s="142" t="s">
        <v>199</v>
      </c>
      <c r="D9" s="143" t="n">
        <v>46000</v>
      </c>
      <c r="E9" s="139" t="n">
        <f aca="false">D9*12</f>
        <v>552000</v>
      </c>
    </row>
    <row r="10" s="144" customFormat="true" ht="21" hidden="false" customHeight="true" outlineLevel="0" collapsed="false">
      <c r="A10" s="140"/>
      <c r="B10" s="141"/>
      <c r="C10" s="142" t="s">
        <v>200</v>
      </c>
      <c r="D10" s="143" t="n">
        <v>1000</v>
      </c>
      <c r="E10" s="139" t="n">
        <f aca="false">D10*12</f>
        <v>12000</v>
      </c>
    </row>
    <row r="11" s="144" customFormat="true" ht="21" hidden="false" customHeight="true" outlineLevel="0" collapsed="false">
      <c r="A11" s="140"/>
      <c r="B11" s="141"/>
      <c r="C11" s="142" t="s">
        <v>201</v>
      </c>
      <c r="D11" s="143" t="n">
        <v>5000</v>
      </c>
      <c r="E11" s="139" t="n">
        <f aca="false">D11*12</f>
        <v>60000</v>
      </c>
    </row>
    <row r="12" s="144" customFormat="true" ht="21" hidden="false" customHeight="true" outlineLevel="0" collapsed="false">
      <c r="A12" s="140"/>
      <c r="B12" s="141"/>
      <c r="C12" s="142" t="s">
        <v>202</v>
      </c>
      <c r="D12" s="143" t="n">
        <v>10000</v>
      </c>
      <c r="E12" s="139" t="n">
        <f aca="false">D12*12</f>
        <v>120000</v>
      </c>
    </row>
    <row r="13" s="144" customFormat="true" ht="21" hidden="false" customHeight="true" outlineLevel="0" collapsed="false">
      <c r="A13" s="145" t="n">
        <v>346</v>
      </c>
      <c r="B13" s="146" t="s">
        <v>203</v>
      </c>
      <c r="C13" s="147" t="s">
        <v>204</v>
      </c>
      <c r="D13" s="148" t="n">
        <v>3000</v>
      </c>
      <c r="E13" s="149" t="n">
        <f aca="false">D13*12</f>
        <v>36000</v>
      </c>
      <c r="I13" s="150"/>
    </row>
    <row r="14" s="144" customFormat="true" ht="21" hidden="false" customHeight="true" outlineLevel="0" collapsed="false">
      <c r="A14" s="145" t="n">
        <v>349</v>
      </c>
      <c r="B14" s="146" t="s">
        <v>205</v>
      </c>
      <c r="C14" s="147" t="s">
        <v>206</v>
      </c>
      <c r="D14" s="148" t="n">
        <v>3600</v>
      </c>
      <c r="E14" s="149" t="n">
        <f aca="false">D14*12</f>
        <v>43200</v>
      </c>
    </row>
    <row r="15" customFormat="false" ht="16.5" hidden="false" customHeight="false" outlineLevel="0" collapsed="false">
      <c r="A15" s="151" t="s">
        <v>207</v>
      </c>
      <c r="B15" s="152"/>
      <c r="C15" s="153"/>
      <c r="D15" s="154" t="n">
        <f aca="false">SUM(D6:D14)</f>
        <v>103400</v>
      </c>
      <c r="E15" s="155" t="n">
        <f aca="false">SUM(E6:E14)</f>
        <v>1240800</v>
      </c>
    </row>
    <row r="16" customFormat="false" ht="15.75" hidden="false" customHeight="false" outlineLevel="0" collapsed="false">
      <c r="A16" s="132"/>
      <c r="B16" s="156"/>
      <c r="C16" s="157"/>
      <c r="D16" s="158"/>
      <c r="E16" s="159"/>
    </row>
    <row r="17" s="67" customFormat="true" ht="18.75" hidden="false" customHeight="false" outlineLevel="0" collapsed="false">
      <c r="A17" s="81"/>
      <c r="B17" s="81"/>
      <c r="C17" s="81"/>
      <c r="D17" s="81"/>
      <c r="E17" s="81"/>
    </row>
    <row r="18" customFormat="false" ht="15.75" hidden="false" customHeight="false" outlineLevel="0" collapsed="false">
      <c r="A18" s="132"/>
      <c r="B18" s="156"/>
      <c r="C18" s="157"/>
      <c r="D18" s="158"/>
      <c r="E18" s="159" t="n">
        <v>1943400</v>
      </c>
      <c r="F18" s="113" t="s">
        <v>208</v>
      </c>
    </row>
    <row r="19" customFormat="false" ht="15.75" hidden="false" customHeight="false" outlineLevel="0" collapsed="false">
      <c r="A19" s="81"/>
      <c r="B19" s="81"/>
      <c r="C19" s="81"/>
      <c r="D19" s="81"/>
      <c r="E19" s="81"/>
      <c r="F19" s="160"/>
      <c r="G19" s="81"/>
      <c r="H19" s="81"/>
      <c r="I19" s="81"/>
      <c r="J19" s="81"/>
    </row>
    <row r="20" customFormat="false" ht="15.75" hidden="false" customHeight="false" outlineLevel="0" collapsed="false">
      <c r="E20" s="161" t="s">
        <v>209</v>
      </c>
    </row>
    <row r="21" customFormat="false" ht="15.75" hidden="false" customHeight="false" outlineLevel="0" collapsed="false">
      <c r="E21" s="162"/>
      <c r="I21" s="109"/>
    </row>
  </sheetData>
  <mergeCells count="6">
    <mergeCell ref="A3:E3"/>
    <mergeCell ref="H5:I5"/>
    <mergeCell ref="A6:A7"/>
    <mergeCell ref="B6:B7"/>
    <mergeCell ref="A8:A12"/>
    <mergeCell ref="B8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42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J21" activeCellId="0" sqref="J2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4.42"/>
    <col collapsed="false" customWidth="true" hidden="false" outlineLevel="0" max="3" min="3" style="0" width="9.29"/>
    <col collapsed="false" customWidth="true" hidden="false" outlineLevel="0" max="4" min="4" style="0" width="12.86"/>
    <col collapsed="false" customWidth="true" hidden="false" outlineLevel="0" max="5" min="5" style="0" width="7.57"/>
    <col collapsed="false" customWidth="true" hidden="false" outlineLevel="0" max="6" min="6" style="0" width="13"/>
    <col collapsed="false" customWidth="true" hidden="false" outlineLevel="0" max="7" min="7" style="0" width="9.42"/>
    <col collapsed="false" customWidth="true" hidden="false" outlineLevel="0" max="8" min="8" style="0" width="11.14"/>
    <col collapsed="false" customWidth="true" hidden="false" outlineLevel="0" max="9" min="9" style="0" width="13.57"/>
    <col collapsed="false" customWidth="true" hidden="false" outlineLevel="0" max="10" min="10" style="0" width="15"/>
    <col collapsed="false" customWidth="true" hidden="false" outlineLevel="0" max="11" min="11" style="0" width="15.42"/>
    <col collapsed="false" customWidth="true" hidden="false" outlineLevel="0" max="13" min="13" style="0" width="28.29"/>
  </cols>
  <sheetData>
    <row r="1" customFormat="false" ht="24" hidden="false" customHeight="true" outlineLevel="0" collapsed="false">
      <c r="J1" s="163" t="s">
        <v>210</v>
      </c>
    </row>
    <row r="2" s="93" customFormat="true" ht="15.75" hidden="false" customHeight="false" outlineLevel="0" collapsed="false"/>
    <row r="3" s="93" customFormat="true" ht="15.75" hidden="false" customHeight="false" outlineLevel="0" collapsed="false">
      <c r="A3" s="164" t="s">
        <v>211</v>
      </c>
      <c r="B3" s="165"/>
      <c r="C3" s="164"/>
      <c r="D3" s="164"/>
      <c r="E3" s="164"/>
      <c r="F3" s="164"/>
      <c r="G3" s="166"/>
      <c r="H3" s="164"/>
      <c r="I3" s="164"/>
      <c r="J3" s="164" t="s">
        <v>212</v>
      </c>
    </row>
    <row r="4" s="93" customFormat="true" ht="90.75" hidden="false" customHeight="true" outlineLevel="0" collapsed="false">
      <c r="A4" s="167" t="s">
        <v>213</v>
      </c>
      <c r="B4" s="97" t="s">
        <v>166</v>
      </c>
      <c r="C4" s="97" t="s">
        <v>214</v>
      </c>
      <c r="D4" s="97" t="s">
        <v>215</v>
      </c>
      <c r="E4" s="96" t="s">
        <v>169</v>
      </c>
      <c r="F4" s="96"/>
      <c r="G4" s="96" t="s">
        <v>216</v>
      </c>
      <c r="H4" s="96"/>
      <c r="I4" s="96" t="s">
        <v>172</v>
      </c>
      <c r="J4" s="96" t="s">
        <v>173</v>
      </c>
      <c r="K4" s="168" t="s">
        <v>174</v>
      </c>
    </row>
    <row r="5" s="93" customFormat="true" ht="68.25" hidden="false" customHeight="true" outlineLevel="0" collapsed="false">
      <c r="A5" s="167"/>
      <c r="B5" s="97"/>
      <c r="C5" s="97"/>
      <c r="D5" s="97"/>
      <c r="E5" s="96" t="s">
        <v>175</v>
      </c>
      <c r="F5" s="96" t="s">
        <v>176</v>
      </c>
      <c r="G5" s="96" t="s">
        <v>175</v>
      </c>
      <c r="H5" s="96" t="s">
        <v>177</v>
      </c>
      <c r="I5" s="96"/>
      <c r="J5" s="96"/>
      <c r="K5" s="168"/>
    </row>
    <row r="6" s="93" customFormat="true" ht="31.5" hidden="false" customHeight="false" outlineLevel="0" collapsed="false">
      <c r="A6" s="169" t="s">
        <v>217</v>
      </c>
      <c r="B6" s="170" t="n">
        <v>26333</v>
      </c>
      <c r="C6" s="171" t="n">
        <v>1</v>
      </c>
      <c r="D6" s="170" t="n">
        <f aca="false">B6*C6</f>
        <v>26333</v>
      </c>
      <c r="E6" s="172" t="n">
        <v>0.05</v>
      </c>
      <c r="F6" s="170" t="n">
        <f aca="false">D6*E6</f>
        <v>1316.65</v>
      </c>
      <c r="G6" s="172" t="n">
        <v>0.3</v>
      </c>
      <c r="H6" s="170" t="n">
        <f aca="false">D6*G6</f>
        <v>7899.9</v>
      </c>
      <c r="I6" s="120" t="n">
        <f aca="false">D6+F6+H6</f>
        <v>35549.55</v>
      </c>
      <c r="J6" s="120" t="n">
        <f aca="false">I6*9+I6*1.04*3</f>
        <v>430860.546</v>
      </c>
      <c r="K6" s="173"/>
      <c r="L6" s="174"/>
    </row>
    <row r="7" s="93" customFormat="true" ht="23.25" hidden="false" customHeight="true" outlineLevel="0" collapsed="false">
      <c r="A7" s="169" t="s">
        <v>218</v>
      </c>
      <c r="B7" s="170" t="n">
        <v>18027</v>
      </c>
      <c r="C7" s="175" t="n">
        <v>1</v>
      </c>
      <c r="D7" s="170" t="n">
        <f aca="false">B7*C7</f>
        <v>18027</v>
      </c>
      <c r="E7" s="172" t="n">
        <f aca="false">$E$6</f>
        <v>0.05</v>
      </c>
      <c r="F7" s="170" t="n">
        <f aca="false">D7*E7</f>
        <v>901.35</v>
      </c>
      <c r="G7" s="172" t="n">
        <f aca="false">$G$6</f>
        <v>0.3</v>
      </c>
      <c r="H7" s="170" t="n">
        <f aca="false">D7*G7</f>
        <v>5408.1</v>
      </c>
      <c r="I7" s="120" t="n">
        <f aca="false">D7+F7+H7</f>
        <v>24336.45</v>
      </c>
      <c r="J7" s="120" t="n">
        <f aca="false">I7*9+I7*1.04*3</f>
        <v>294957.774</v>
      </c>
      <c r="L7" s="174"/>
    </row>
    <row r="8" s="93" customFormat="true" ht="31.5" hidden="false" customHeight="false" outlineLevel="0" collapsed="false">
      <c r="A8" s="169" t="s">
        <v>219</v>
      </c>
      <c r="B8" s="170" t="n">
        <v>10535</v>
      </c>
      <c r="C8" s="171" t="n">
        <v>1</v>
      </c>
      <c r="D8" s="170" t="n">
        <f aca="false">B8*C8</f>
        <v>10535</v>
      </c>
      <c r="E8" s="172" t="n">
        <v>0</v>
      </c>
      <c r="F8" s="170" t="n">
        <f aca="false">D8*E8</f>
        <v>0</v>
      </c>
      <c r="G8" s="172"/>
      <c r="H8" s="170" t="n">
        <f aca="false">D8*G8</f>
        <v>0</v>
      </c>
      <c r="I8" s="120" t="n">
        <f aca="false">D8+F8+H8</f>
        <v>10535</v>
      </c>
      <c r="J8" s="120" t="n">
        <f aca="false">I8*9+I8*1.04*3</f>
        <v>127684.2</v>
      </c>
      <c r="L8" s="176"/>
    </row>
    <row r="9" s="93" customFormat="true" ht="47.25" hidden="false" customHeight="false" outlineLevel="0" collapsed="false">
      <c r="A9" s="169" t="s">
        <v>220</v>
      </c>
      <c r="B9" s="170" t="n">
        <v>10535</v>
      </c>
      <c r="C9" s="170" t="n">
        <v>0.25</v>
      </c>
      <c r="D9" s="170" t="n">
        <f aca="false">B9*C9</f>
        <v>2633.75</v>
      </c>
      <c r="E9" s="172" t="n">
        <v>0</v>
      </c>
      <c r="F9" s="170" t="n">
        <f aca="false">D9*E9</f>
        <v>0</v>
      </c>
      <c r="G9" s="172"/>
      <c r="H9" s="170" t="n">
        <f aca="false">D9*G9</f>
        <v>0</v>
      </c>
      <c r="I9" s="120" t="n">
        <f aca="false">D9+F9+H9</f>
        <v>2633.75</v>
      </c>
      <c r="J9" s="120" t="n">
        <f aca="false">I9*9+I9*1.04*3</f>
        <v>31921.05</v>
      </c>
      <c r="L9" s="174"/>
    </row>
    <row r="10" s="93" customFormat="true" ht="31.5" hidden="false" customHeight="false" outlineLevel="0" collapsed="false">
      <c r="A10" s="169" t="s">
        <v>221</v>
      </c>
      <c r="B10" s="170" t="n">
        <v>18027</v>
      </c>
      <c r="C10" s="170" t="n">
        <v>0.25</v>
      </c>
      <c r="D10" s="170" t="n">
        <f aca="false">B10*C10</f>
        <v>4506.75</v>
      </c>
      <c r="E10" s="172" t="n">
        <f aca="false">$E$6</f>
        <v>0.05</v>
      </c>
      <c r="F10" s="170" t="n">
        <f aca="false">D10*E10</f>
        <v>225.3375</v>
      </c>
      <c r="G10" s="172" t="n">
        <f aca="false">$G$6</f>
        <v>0.3</v>
      </c>
      <c r="H10" s="170" t="n">
        <f aca="false">D10*G10</f>
        <v>1352.025</v>
      </c>
      <c r="I10" s="120" t="n">
        <f aca="false">D10+F10+H10</f>
        <v>6084.1125</v>
      </c>
      <c r="J10" s="120" t="n">
        <f aca="false">I10*9+I10*1.04*3</f>
        <v>73739.4435</v>
      </c>
      <c r="L10" s="174"/>
    </row>
    <row r="11" s="93" customFormat="true" ht="21.75" hidden="false" customHeight="true" outlineLevel="0" collapsed="false">
      <c r="A11" s="169" t="s">
        <v>222</v>
      </c>
      <c r="B11" s="170" t="n">
        <v>11590</v>
      </c>
      <c r="C11" s="175" t="n">
        <v>0.5</v>
      </c>
      <c r="D11" s="170" t="n">
        <f aca="false">B11*C11</f>
        <v>5795</v>
      </c>
      <c r="E11" s="172" t="n">
        <v>0</v>
      </c>
      <c r="F11" s="170" t="n">
        <f aca="false">D11*E11</f>
        <v>0</v>
      </c>
      <c r="G11" s="172"/>
      <c r="H11" s="170" t="n">
        <f aca="false">D11*G11</f>
        <v>0</v>
      </c>
      <c r="I11" s="120" t="n">
        <f aca="false">D11+F11+H11</f>
        <v>5795</v>
      </c>
      <c r="J11" s="120" t="n">
        <f aca="false">I11*9+I11*1.04*3</f>
        <v>70235.4</v>
      </c>
      <c r="L11" s="174"/>
    </row>
    <row r="12" s="93" customFormat="true" ht="21.75" hidden="false" customHeight="true" outlineLevel="0" collapsed="false">
      <c r="A12" s="169" t="s">
        <v>223</v>
      </c>
      <c r="B12" s="170" t="n">
        <v>18027</v>
      </c>
      <c r="C12" s="175" t="n">
        <v>1</v>
      </c>
      <c r="D12" s="170" t="n">
        <f aca="false">B12*C12</f>
        <v>18027</v>
      </c>
      <c r="E12" s="172" t="n">
        <f aca="false">$E$6</f>
        <v>0.05</v>
      </c>
      <c r="F12" s="170" t="n">
        <f aca="false">D12*E12</f>
        <v>901.35</v>
      </c>
      <c r="G12" s="172" t="n">
        <f aca="false">$G$6</f>
        <v>0.3</v>
      </c>
      <c r="H12" s="170" t="n">
        <f aca="false">D12*G12</f>
        <v>5408.1</v>
      </c>
      <c r="I12" s="120" t="n">
        <f aca="false">D12+F12+H12</f>
        <v>24336.45</v>
      </c>
      <c r="J12" s="120" t="n">
        <f aca="false">I12*9+I12*1.04*3</f>
        <v>294957.774</v>
      </c>
      <c r="L12" s="174"/>
    </row>
    <row r="13" s="93" customFormat="true" ht="21.75" hidden="false" customHeight="true" outlineLevel="0" collapsed="false">
      <c r="A13" s="101" t="s">
        <v>224</v>
      </c>
      <c r="B13" s="170" t="n">
        <v>11562</v>
      </c>
      <c r="C13" s="170" t="n">
        <v>0.25</v>
      </c>
      <c r="D13" s="170" t="n">
        <f aca="false">B13*C13</f>
        <v>2890.5</v>
      </c>
      <c r="E13" s="172" t="n">
        <f aca="false">$E$6</f>
        <v>0.05</v>
      </c>
      <c r="F13" s="170" t="n">
        <f aca="false">D13*E13</f>
        <v>144.525</v>
      </c>
      <c r="G13" s="172" t="n">
        <f aca="false">$G$6</f>
        <v>0.3</v>
      </c>
      <c r="H13" s="170" t="n">
        <f aca="false">D13*G13</f>
        <v>867.15</v>
      </c>
      <c r="I13" s="120" t="n">
        <f aca="false">D13+F13+H13</f>
        <v>3902.175</v>
      </c>
      <c r="J13" s="120" t="n">
        <f aca="false">I13*9+I13*1.04*3</f>
        <v>47294.361</v>
      </c>
      <c r="L13" s="174"/>
    </row>
    <row r="14" s="93" customFormat="true" ht="21.75" hidden="false" customHeight="true" outlineLevel="0" collapsed="false">
      <c r="A14" s="169" t="s">
        <v>225</v>
      </c>
      <c r="B14" s="170" t="n">
        <v>18027</v>
      </c>
      <c r="C14" s="171" t="n">
        <v>0.5</v>
      </c>
      <c r="D14" s="170" t="n">
        <f aca="false">B14*C14</f>
        <v>9013.5</v>
      </c>
      <c r="E14" s="172" t="n">
        <f aca="false">$E$6</f>
        <v>0.05</v>
      </c>
      <c r="F14" s="170" t="n">
        <f aca="false">D14*E14</f>
        <v>450.675</v>
      </c>
      <c r="G14" s="172" t="n">
        <f aca="false">$G$6</f>
        <v>0.3</v>
      </c>
      <c r="H14" s="170" t="n">
        <f aca="false">D14*G14</f>
        <v>2704.05</v>
      </c>
      <c r="I14" s="120" t="n">
        <f aca="false">D14+F14+H14</f>
        <v>12168.225</v>
      </c>
      <c r="J14" s="120" t="n">
        <f aca="false">I14*9+I14*1.04*3</f>
        <v>147478.887</v>
      </c>
      <c r="L14" s="174"/>
    </row>
    <row r="15" s="93" customFormat="true" ht="21.75" hidden="false" customHeight="true" outlineLevel="0" collapsed="false">
      <c r="A15" s="169" t="s">
        <v>226</v>
      </c>
      <c r="B15" s="170" t="n">
        <v>18027</v>
      </c>
      <c r="C15" s="170" t="n">
        <v>0.25</v>
      </c>
      <c r="D15" s="170" t="n">
        <f aca="false">B15*C15</f>
        <v>4506.75</v>
      </c>
      <c r="E15" s="172" t="n">
        <f aca="false">$E$6</f>
        <v>0.05</v>
      </c>
      <c r="F15" s="170" t="n">
        <f aca="false">D15*E15</f>
        <v>225.3375</v>
      </c>
      <c r="G15" s="172" t="n">
        <f aca="false">$G$6</f>
        <v>0.3</v>
      </c>
      <c r="H15" s="170" t="n">
        <f aca="false">D15*G15</f>
        <v>1352.025</v>
      </c>
      <c r="I15" s="120" t="n">
        <f aca="false">D15+F15+H15</f>
        <v>6084.1125</v>
      </c>
      <c r="J15" s="120" t="n">
        <f aca="false">I15*9+I15*1.04*3</f>
        <v>73739.4435</v>
      </c>
      <c r="L15" s="174"/>
    </row>
    <row r="16" s="93" customFormat="true" ht="15.75" hidden="false" customHeight="false" outlineLevel="0" collapsed="false">
      <c r="A16" s="169" t="s">
        <v>207</v>
      </c>
      <c r="B16" s="169"/>
      <c r="C16" s="120" t="n">
        <f aca="false">SUM(C6:C15)</f>
        <v>6</v>
      </c>
      <c r="D16" s="120" t="n">
        <f aca="false">SUM(D6:D15)</f>
        <v>102268.25</v>
      </c>
      <c r="E16" s="177"/>
      <c r="F16" s="120" t="n">
        <f aca="false">SUM(F6:F15)</f>
        <v>4165.225</v>
      </c>
      <c r="G16" s="177"/>
      <c r="H16" s="120" t="n">
        <f aca="false">SUM(H6:H15)</f>
        <v>24991.35</v>
      </c>
      <c r="I16" s="120" t="n">
        <f aca="false">SUM(I6:I15)</f>
        <v>131424.825</v>
      </c>
      <c r="J16" s="120" t="n">
        <f aca="false">SUM(J6:J15)</f>
        <v>1592868.879</v>
      </c>
      <c r="L16" s="178"/>
    </row>
    <row r="17" s="93" customFormat="true" ht="15.75" hidden="false" customHeight="false" outlineLevel="0" collapsed="false"/>
    <row r="18" s="93" customFormat="true" ht="15.75" hidden="false" customHeight="false" outlineLevel="0" collapsed="false">
      <c r="F18" s="164" t="s">
        <v>180</v>
      </c>
      <c r="I18" s="110" t="n">
        <v>0.302</v>
      </c>
      <c r="J18" s="111" t="n">
        <f aca="false">J16*I18</f>
        <v>481046.401458</v>
      </c>
    </row>
    <row r="19" s="93" customFormat="true" ht="15.75" hidden="false" customHeight="false" outlineLevel="0" collapsed="false">
      <c r="F19" s="164" t="s">
        <v>181</v>
      </c>
      <c r="J19" s="111" t="n">
        <f aca="false">J16+J18</f>
        <v>2073915.280458</v>
      </c>
    </row>
    <row r="20" s="93" customFormat="true" ht="15.75" hidden="false" customHeight="false" outlineLevel="0" collapsed="false">
      <c r="F20" s="164"/>
      <c r="J20" s="179"/>
    </row>
    <row r="21" s="93" customFormat="true" ht="31.5" hidden="false" customHeight="false" outlineLevel="0" collapsed="false">
      <c r="F21" s="164"/>
      <c r="J21" s="180" t="s">
        <v>227</v>
      </c>
    </row>
    <row r="22" s="181" customFormat="true" ht="15.75" hidden="false" customHeight="false" outlineLevel="0" collapsed="false">
      <c r="A22" s="81"/>
      <c r="B22" s="81"/>
      <c r="C22" s="81"/>
      <c r="D22" s="81"/>
      <c r="E22" s="81"/>
      <c r="F22" s="81"/>
      <c r="G22" s="81"/>
      <c r="H22" s="81"/>
      <c r="I22" s="81"/>
      <c r="J22" s="81"/>
    </row>
    <row r="23" s="93" customFormat="true" ht="15.75" hidden="false" customHeight="false" outlineLevel="0" collapsed="false"/>
    <row r="24" s="93" customFormat="true" ht="15.75" hidden="false" customHeight="false" outlineLevel="0" collapsed="false"/>
    <row r="25" s="93" customFormat="true" ht="15.75" hidden="false" customHeight="false" outlineLevel="0" collapsed="false"/>
    <row r="26" s="93" customFormat="true" ht="15.75" hidden="false" customHeight="false" outlineLevel="0" collapsed="false"/>
    <row r="27" s="93" customFormat="true" ht="15.75" hidden="false" customHeight="false" outlineLevel="0" collapsed="false"/>
    <row r="28" s="93" customFormat="true" ht="15.75" hidden="false" customHeight="false" outlineLevel="0" collapsed="false"/>
    <row r="29" s="93" customFormat="true" ht="15.75" hidden="false" customHeight="false" outlineLevel="0" collapsed="false"/>
    <row r="30" s="93" customFormat="true" ht="15.75" hidden="false" customHeight="false" outlineLevel="0" collapsed="false"/>
    <row r="31" s="93" customFormat="true" ht="15.75" hidden="false" customHeight="false" outlineLevel="0" collapsed="false"/>
    <row r="32" s="93" customFormat="true" ht="15.75" hidden="false" customHeight="false" outlineLevel="0" collapsed="false"/>
    <row r="33" s="93" customFormat="true" ht="15.75" hidden="false" customHeight="false" outlineLevel="0" collapsed="false"/>
    <row r="34" s="93" customFormat="true" ht="15.75" hidden="false" customHeight="false" outlineLevel="0" collapsed="false"/>
    <row r="35" s="93" customFormat="true" ht="15.75" hidden="false" customHeight="false" outlineLevel="0" collapsed="false"/>
    <row r="36" s="93" customFormat="true" ht="15.75" hidden="false" customHeight="false" outlineLevel="0" collapsed="false"/>
    <row r="37" s="93" customFormat="true" ht="15.75" hidden="false" customHeight="false" outlineLevel="0" collapsed="false"/>
    <row r="38" s="93" customFormat="true" ht="15.75" hidden="false" customHeight="false" outlineLevel="0" collapsed="false"/>
    <row r="39" s="93" customFormat="true" ht="15.75" hidden="false" customHeight="false" outlineLevel="0" collapsed="false"/>
    <row r="40" s="93" customFormat="true" ht="15.75" hidden="false" customHeight="false" outlineLevel="0" collapsed="false"/>
    <row r="41" s="93" customFormat="true" ht="15.75" hidden="false" customHeight="false" outlineLevel="0" collapsed="false"/>
    <row r="42" s="93" customFormat="true" ht="15.75" hidden="false" customHeight="false" outlineLevel="0" collapsed="false"/>
    <row r="43" s="93" customFormat="true" ht="15.75" hidden="false" customHeight="false" outlineLevel="0" collapsed="false"/>
    <row r="44" s="93" customFormat="true" ht="15.75" hidden="false" customHeight="false" outlineLevel="0" collapsed="false"/>
    <row r="45" s="93" customFormat="true" ht="15.75" hidden="false" customHeight="false" outlineLevel="0" collapsed="false"/>
    <row r="46" s="93" customFormat="true" ht="15.75" hidden="false" customHeight="false" outlineLevel="0" collapsed="false"/>
    <row r="47" s="93" customFormat="true" ht="15.75" hidden="false" customHeight="false" outlineLevel="0" collapsed="false"/>
    <row r="48" s="93" customFormat="true" ht="15.75" hidden="false" customHeight="false" outlineLevel="0" collapsed="false"/>
    <row r="49" s="93" customFormat="true" ht="15.75" hidden="false" customHeight="false" outlineLevel="0" collapsed="false"/>
    <row r="50" s="93" customFormat="true" ht="15.75" hidden="false" customHeight="false" outlineLevel="0" collapsed="false"/>
    <row r="51" s="93" customFormat="true" ht="15.75" hidden="false" customHeight="false" outlineLevel="0" collapsed="false"/>
    <row r="52" s="93" customFormat="true" ht="15.75" hidden="false" customHeight="false" outlineLevel="0" collapsed="false"/>
    <row r="53" s="93" customFormat="true" ht="15.75" hidden="false" customHeight="false" outlineLevel="0" collapsed="false"/>
    <row r="54" s="93" customFormat="true" ht="15.75" hidden="false" customHeight="false" outlineLevel="0" collapsed="false"/>
    <row r="55" s="93" customFormat="true" ht="15.75" hidden="false" customHeight="false" outlineLevel="0" collapsed="false"/>
    <row r="56" s="93" customFormat="true" ht="15.75" hidden="false" customHeight="false" outlineLevel="0" collapsed="false"/>
    <row r="57" s="93" customFormat="true" ht="15.75" hidden="false" customHeight="false" outlineLevel="0" collapsed="false"/>
    <row r="58" s="93" customFormat="true" ht="15.75" hidden="false" customHeight="false" outlineLevel="0" collapsed="false"/>
    <row r="59" s="93" customFormat="true" ht="15.75" hidden="false" customHeight="false" outlineLevel="0" collapsed="false"/>
    <row r="60" s="93" customFormat="true" ht="15.75" hidden="false" customHeight="false" outlineLevel="0" collapsed="false"/>
    <row r="61" s="93" customFormat="true" ht="15.75" hidden="false" customHeight="false" outlineLevel="0" collapsed="false"/>
    <row r="62" s="93" customFormat="true" ht="15.75" hidden="false" customHeight="false" outlineLevel="0" collapsed="false"/>
    <row r="63" s="93" customFormat="true" ht="15.75" hidden="false" customHeight="false" outlineLevel="0" collapsed="false"/>
    <row r="64" s="93" customFormat="true" ht="15.75" hidden="false" customHeight="false" outlineLevel="0" collapsed="false"/>
    <row r="65" s="93" customFormat="true" ht="15.75" hidden="false" customHeight="false" outlineLevel="0" collapsed="false"/>
    <row r="66" s="93" customFormat="true" ht="15.75" hidden="false" customHeight="false" outlineLevel="0" collapsed="false"/>
    <row r="67" s="93" customFormat="true" ht="15.75" hidden="false" customHeight="false" outlineLevel="0" collapsed="false"/>
    <row r="68" s="93" customFormat="true" ht="15.75" hidden="false" customHeight="false" outlineLevel="0" collapsed="false"/>
    <row r="69" s="93" customFormat="true" ht="15.75" hidden="false" customHeight="false" outlineLevel="0" collapsed="false"/>
    <row r="70" s="93" customFormat="true" ht="15.75" hidden="false" customHeight="false" outlineLevel="0" collapsed="false"/>
    <row r="71" s="93" customFormat="true" ht="15.75" hidden="false" customHeight="false" outlineLevel="0" collapsed="false"/>
    <row r="72" s="93" customFormat="true" ht="15.75" hidden="false" customHeight="false" outlineLevel="0" collapsed="false"/>
    <row r="73" s="93" customFormat="true" ht="15.75" hidden="false" customHeight="false" outlineLevel="0" collapsed="false"/>
    <row r="74" s="93" customFormat="true" ht="15.75" hidden="false" customHeight="false" outlineLevel="0" collapsed="false"/>
    <row r="75" s="93" customFormat="true" ht="15.75" hidden="false" customHeight="false" outlineLevel="0" collapsed="false"/>
    <row r="76" s="93" customFormat="true" ht="15.75" hidden="false" customHeight="false" outlineLevel="0" collapsed="false"/>
    <row r="77" s="93" customFormat="true" ht="15.75" hidden="false" customHeight="false" outlineLevel="0" collapsed="false"/>
    <row r="78" s="93" customFormat="true" ht="15.75" hidden="false" customHeight="false" outlineLevel="0" collapsed="false"/>
    <row r="79" s="93" customFormat="true" ht="15.75" hidden="false" customHeight="false" outlineLevel="0" collapsed="false"/>
    <row r="80" s="93" customFormat="true" ht="15.75" hidden="false" customHeight="false" outlineLevel="0" collapsed="false"/>
    <row r="81" s="93" customFormat="true" ht="15.75" hidden="false" customHeight="false" outlineLevel="0" collapsed="false"/>
    <row r="82" s="93" customFormat="true" ht="15.75" hidden="false" customHeight="false" outlineLevel="0" collapsed="false"/>
    <row r="83" s="93" customFormat="true" ht="15.75" hidden="false" customHeight="false" outlineLevel="0" collapsed="false"/>
    <row r="84" s="93" customFormat="true" ht="15.75" hidden="false" customHeight="false" outlineLevel="0" collapsed="false"/>
    <row r="85" s="93" customFormat="true" ht="15.75" hidden="false" customHeight="false" outlineLevel="0" collapsed="false"/>
    <row r="86" s="93" customFormat="true" ht="15.75" hidden="false" customHeight="false" outlineLevel="0" collapsed="false"/>
    <row r="87" s="93" customFormat="true" ht="15.75" hidden="false" customHeight="false" outlineLevel="0" collapsed="false"/>
    <row r="88" s="93" customFormat="true" ht="15.75" hidden="false" customHeight="false" outlineLevel="0" collapsed="false"/>
    <row r="89" s="93" customFormat="true" ht="15.75" hidden="false" customHeight="false" outlineLevel="0" collapsed="false"/>
    <row r="90" s="93" customFormat="true" ht="15.75" hidden="false" customHeight="false" outlineLevel="0" collapsed="false"/>
    <row r="91" s="93" customFormat="true" ht="15.75" hidden="false" customHeight="false" outlineLevel="0" collapsed="false"/>
    <row r="92" s="93" customFormat="true" ht="15.75" hidden="false" customHeight="false" outlineLevel="0" collapsed="false"/>
    <row r="93" s="93" customFormat="true" ht="15.75" hidden="false" customHeight="false" outlineLevel="0" collapsed="false"/>
    <row r="94" s="93" customFormat="true" ht="15.75" hidden="false" customHeight="false" outlineLevel="0" collapsed="false"/>
    <row r="95" s="93" customFormat="true" ht="15.75" hidden="false" customHeight="false" outlineLevel="0" collapsed="false"/>
    <row r="96" s="93" customFormat="true" ht="15.75" hidden="false" customHeight="false" outlineLevel="0" collapsed="false"/>
    <row r="97" s="93" customFormat="true" ht="15.75" hidden="false" customHeight="false" outlineLevel="0" collapsed="false"/>
    <row r="98" s="93" customFormat="true" ht="15.75" hidden="false" customHeight="false" outlineLevel="0" collapsed="false"/>
    <row r="99" s="93" customFormat="true" ht="15.75" hidden="false" customHeight="false" outlineLevel="0" collapsed="false"/>
    <row r="100" s="93" customFormat="true" ht="15.75" hidden="false" customHeight="false" outlineLevel="0" collapsed="false"/>
    <row r="101" s="93" customFormat="true" ht="15.75" hidden="false" customHeight="false" outlineLevel="0" collapsed="false"/>
    <row r="102" s="93" customFormat="true" ht="15.75" hidden="false" customHeight="false" outlineLevel="0" collapsed="false"/>
    <row r="103" s="93" customFormat="true" ht="15.75" hidden="false" customHeight="false" outlineLevel="0" collapsed="false"/>
    <row r="104" s="93" customFormat="true" ht="15.75" hidden="false" customHeight="false" outlineLevel="0" collapsed="false"/>
    <row r="105" s="93" customFormat="true" ht="15.75" hidden="false" customHeight="false" outlineLevel="0" collapsed="false"/>
    <row r="106" s="93" customFormat="true" ht="15.75" hidden="false" customHeight="false" outlineLevel="0" collapsed="false"/>
    <row r="107" s="93" customFormat="true" ht="15.75" hidden="false" customHeight="false" outlineLevel="0" collapsed="false"/>
    <row r="108" s="93" customFormat="true" ht="15.75" hidden="false" customHeight="false" outlineLevel="0" collapsed="false"/>
    <row r="109" s="93" customFormat="true" ht="15.75" hidden="false" customHeight="false" outlineLevel="0" collapsed="false"/>
    <row r="110" s="93" customFormat="true" ht="15.75" hidden="false" customHeight="false" outlineLevel="0" collapsed="false"/>
    <row r="111" s="93" customFormat="true" ht="15.75" hidden="false" customHeight="false" outlineLevel="0" collapsed="false"/>
    <row r="112" s="93" customFormat="true" ht="15.75" hidden="false" customHeight="false" outlineLevel="0" collapsed="false"/>
    <row r="113" s="93" customFormat="true" ht="15.75" hidden="false" customHeight="false" outlineLevel="0" collapsed="false"/>
    <row r="114" s="93" customFormat="true" ht="15.75" hidden="false" customHeight="false" outlineLevel="0" collapsed="false"/>
    <row r="115" s="93" customFormat="true" ht="15.75" hidden="false" customHeight="false" outlineLevel="0" collapsed="false"/>
    <row r="116" s="93" customFormat="true" ht="15.75" hidden="false" customHeight="false" outlineLevel="0" collapsed="false"/>
    <row r="117" s="93" customFormat="true" ht="15.75" hidden="false" customHeight="false" outlineLevel="0" collapsed="false"/>
    <row r="118" s="93" customFormat="true" ht="15.75" hidden="false" customHeight="false" outlineLevel="0" collapsed="false"/>
    <row r="119" s="93" customFormat="true" ht="15.75" hidden="false" customHeight="false" outlineLevel="0" collapsed="false"/>
    <row r="120" s="93" customFormat="true" ht="15.75" hidden="false" customHeight="false" outlineLevel="0" collapsed="false"/>
    <row r="121" s="93" customFormat="true" ht="15.75" hidden="false" customHeight="false" outlineLevel="0" collapsed="false"/>
    <row r="122" s="93" customFormat="true" ht="15.75" hidden="false" customHeight="false" outlineLevel="0" collapsed="false"/>
    <row r="123" s="93" customFormat="true" ht="15.75" hidden="false" customHeight="false" outlineLevel="0" collapsed="false"/>
    <row r="124" s="93" customFormat="true" ht="15.75" hidden="false" customHeight="false" outlineLevel="0" collapsed="false"/>
    <row r="125" s="93" customFormat="true" ht="15.75" hidden="false" customHeight="false" outlineLevel="0" collapsed="false"/>
    <row r="126" s="93" customFormat="true" ht="15.75" hidden="false" customHeight="false" outlineLevel="0" collapsed="false"/>
    <row r="127" s="93" customFormat="true" ht="15.75" hidden="false" customHeight="false" outlineLevel="0" collapsed="false"/>
    <row r="128" s="93" customFormat="true" ht="15.75" hidden="false" customHeight="false" outlineLevel="0" collapsed="false"/>
    <row r="129" s="93" customFormat="true" ht="15.75" hidden="false" customHeight="false" outlineLevel="0" collapsed="false"/>
    <row r="130" s="93" customFormat="true" ht="15.75" hidden="false" customHeight="false" outlineLevel="0" collapsed="false"/>
    <row r="131" s="93" customFormat="true" ht="15.75" hidden="false" customHeight="false" outlineLevel="0" collapsed="false"/>
    <row r="132" s="93" customFormat="true" ht="15.75" hidden="false" customHeight="false" outlineLevel="0" collapsed="false"/>
    <row r="133" s="93" customFormat="true" ht="15.75" hidden="false" customHeight="false" outlineLevel="0" collapsed="false"/>
    <row r="134" s="93" customFormat="true" ht="15.75" hidden="false" customHeight="false" outlineLevel="0" collapsed="false"/>
    <row r="135" s="93" customFormat="true" ht="15.75" hidden="false" customHeight="false" outlineLevel="0" collapsed="false"/>
    <row r="136" s="93" customFormat="true" ht="15.75" hidden="false" customHeight="false" outlineLevel="0" collapsed="false"/>
    <row r="137" s="93" customFormat="true" ht="15.75" hidden="false" customHeight="false" outlineLevel="0" collapsed="false"/>
    <row r="138" s="93" customFormat="true" ht="15.75" hidden="false" customHeight="false" outlineLevel="0" collapsed="false"/>
    <row r="139" s="93" customFormat="true" ht="15.75" hidden="false" customHeight="false" outlineLevel="0" collapsed="false"/>
    <row r="140" s="93" customFormat="true" ht="15.75" hidden="false" customHeight="false" outlineLevel="0" collapsed="false"/>
    <row r="141" s="93" customFormat="true" ht="15.75" hidden="false" customHeight="false" outlineLevel="0" collapsed="false"/>
    <row r="142" s="93" customFormat="true" ht="15.75" hidden="false" customHeight="false" outlineLevel="0" collapsed="false"/>
    <row r="143" s="93" customFormat="true" ht="15.75" hidden="false" customHeight="false" outlineLevel="0" collapsed="false"/>
    <row r="144" s="93" customFormat="true" ht="15.75" hidden="false" customHeight="false" outlineLevel="0" collapsed="false"/>
    <row r="145" s="93" customFormat="true" ht="15.75" hidden="false" customHeight="false" outlineLevel="0" collapsed="false"/>
    <row r="146" s="93" customFormat="true" ht="15.75" hidden="false" customHeight="false" outlineLevel="0" collapsed="false"/>
    <row r="147" s="93" customFormat="true" ht="15.75" hidden="false" customHeight="false" outlineLevel="0" collapsed="false"/>
    <row r="148" s="93" customFormat="true" ht="15.75" hidden="false" customHeight="false" outlineLevel="0" collapsed="false"/>
    <row r="149" s="93" customFormat="true" ht="15.75" hidden="false" customHeight="false" outlineLevel="0" collapsed="false"/>
    <row r="150" s="93" customFormat="true" ht="15.75" hidden="false" customHeight="false" outlineLevel="0" collapsed="false"/>
    <row r="151" s="93" customFormat="true" ht="15.75" hidden="false" customHeight="false" outlineLevel="0" collapsed="false"/>
    <row r="152" s="93" customFormat="true" ht="15.75" hidden="false" customHeight="false" outlineLevel="0" collapsed="false"/>
    <row r="153" s="93" customFormat="true" ht="15.75" hidden="false" customHeight="false" outlineLevel="0" collapsed="false"/>
    <row r="154" s="93" customFormat="true" ht="15.75" hidden="false" customHeight="false" outlineLevel="0" collapsed="false"/>
    <row r="155" s="93" customFormat="true" ht="15.75" hidden="false" customHeight="false" outlineLevel="0" collapsed="false"/>
    <row r="156" s="93" customFormat="true" ht="15.75" hidden="false" customHeight="false" outlineLevel="0" collapsed="false"/>
    <row r="157" s="93" customFormat="true" ht="15.75" hidden="false" customHeight="false" outlineLevel="0" collapsed="false"/>
    <row r="158" s="93" customFormat="true" ht="15.75" hidden="false" customHeight="false" outlineLevel="0" collapsed="false"/>
    <row r="159" s="93" customFormat="true" ht="15.75" hidden="false" customHeight="false" outlineLevel="0" collapsed="false"/>
    <row r="160" s="93" customFormat="true" ht="15.75" hidden="false" customHeight="false" outlineLevel="0" collapsed="false"/>
    <row r="161" s="93" customFormat="true" ht="15.75" hidden="false" customHeight="false" outlineLevel="0" collapsed="false"/>
    <row r="162" s="93" customFormat="true" ht="15.75" hidden="false" customHeight="false" outlineLevel="0" collapsed="false"/>
    <row r="163" s="93" customFormat="true" ht="15.75" hidden="false" customHeight="false" outlineLevel="0" collapsed="false"/>
    <row r="164" s="93" customFormat="true" ht="15.75" hidden="false" customHeight="false" outlineLevel="0" collapsed="false"/>
    <row r="165" s="93" customFormat="true" ht="15.75" hidden="false" customHeight="false" outlineLevel="0" collapsed="false"/>
    <row r="166" s="93" customFormat="true" ht="15.75" hidden="false" customHeight="false" outlineLevel="0" collapsed="false"/>
    <row r="167" s="93" customFormat="true" ht="15.75" hidden="false" customHeight="false" outlineLevel="0" collapsed="false"/>
    <row r="168" s="93" customFormat="true" ht="15.75" hidden="false" customHeight="false" outlineLevel="0" collapsed="false"/>
    <row r="169" s="93" customFormat="true" ht="15.75" hidden="false" customHeight="false" outlineLevel="0" collapsed="false"/>
    <row r="170" s="93" customFormat="true" ht="15.75" hidden="false" customHeight="false" outlineLevel="0" collapsed="false"/>
    <row r="171" s="93" customFormat="true" ht="15.75" hidden="false" customHeight="false" outlineLevel="0" collapsed="false"/>
    <row r="172" s="93" customFormat="true" ht="15.75" hidden="false" customHeight="false" outlineLevel="0" collapsed="false"/>
    <row r="173" s="93" customFormat="true" ht="15.75" hidden="false" customHeight="false" outlineLevel="0" collapsed="false"/>
    <row r="174" s="93" customFormat="true" ht="15.75" hidden="false" customHeight="false" outlineLevel="0" collapsed="false"/>
    <row r="175" s="93" customFormat="true" ht="15.75" hidden="false" customHeight="false" outlineLevel="0" collapsed="false"/>
    <row r="176" s="93" customFormat="true" ht="15.75" hidden="false" customHeight="false" outlineLevel="0" collapsed="false"/>
    <row r="177" s="93" customFormat="true" ht="15.75" hidden="false" customHeight="false" outlineLevel="0" collapsed="false"/>
    <row r="178" s="93" customFormat="true" ht="15.75" hidden="false" customHeight="false" outlineLevel="0" collapsed="false"/>
    <row r="179" s="93" customFormat="true" ht="15.75" hidden="false" customHeight="false" outlineLevel="0" collapsed="false"/>
    <row r="180" s="93" customFormat="true" ht="15.75" hidden="false" customHeight="false" outlineLevel="0" collapsed="false"/>
    <row r="181" s="93" customFormat="true" ht="15.75" hidden="false" customHeight="false" outlineLevel="0" collapsed="false"/>
    <row r="182" s="93" customFormat="true" ht="15.75" hidden="false" customHeight="false" outlineLevel="0" collapsed="false"/>
    <row r="183" s="93" customFormat="true" ht="15.75" hidden="false" customHeight="false" outlineLevel="0" collapsed="false"/>
    <row r="184" s="93" customFormat="true" ht="15.75" hidden="false" customHeight="false" outlineLevel="0" collapsed="false"/>
    <row r="185" s="93" customFormat="true" ht="15.75" hidden="false" customHeight="false" outlineLevel="0" collapsed="false"/>
    <row r="186" s="93" customFormat="true" ht="15.75" hidden="false" customHeight="false" outlineLevel="0" collapsed="false"/>
    <row r="187" s="93" customFormat="true" ht="15.75" hidden="false" customHeight="false" outlineLevel="0" collapsed="false"/>
    <row r="188" s="93" customFormat="true" ht="15.75" hidden="false" customHeight="false" outlineLevel="0" collapsed="false"/>
    <row r="189" s="93" customFormat="true" ht="15.75" hidden="false" customHeight="false" outlineLevel="0" collapsed="false"/>
    <row r="190" s="93" customFormat="true" ht="15.75" hidden="false" customHeight="false" outlineLevel="0" collapsed="false"/>
    <row r="191" s="93" customFormat="true" ht="15.75" hidden="false" customHeight="false" outlineLevel="0" collapsed="false"/>
    <row r="192" s="93" customFormat="true" ht="15.75" hidden="false" customHeight="false" outlineLevel="0" collapsed="false"/>
    <row r="193" s="93" customFormat="true" ht="15.75" hidden="false" customHeight="false" outlineLevel="0" collapsed="false"/>
    <row r="194" s="93" customFormat="true" ht="15.75" hidden="false" customHeight="false" outlineLevel="0" collapsed="false"/>
    <row r="195" s="93" customFormat="true" ht="15.75" hidden="false" customHeight="false" outlineLevel="0" collapsed="false"/>
    <row r="196" s="93" customFormat="true" ht="15.75" hidden="false" customHeight="false" outlineLevel="0" collapsed="false"/>
    <row r="197" s="93" customFormat="true" ht="15.75" hidden="false" customHeight="false" outlineLevel="0" collapsed="false"/>
    <row r="198" s="93" customFormat="true" ht="15.75" hidden="false" customHeight="false" outlineLevel="0" collapsed="false"/>
    <row r="199" s="93" customFormat="true" ht="15.75" hidden="false" customHeight="false" outlineLevel="0" collapsed="false"/>
    <row r="200" s="93" customFormat="true" ht="15.75" hidden="false" customHeight="false" outlineLevel="0" collapsed="false"/>
    <row r="201" s="93" customFormat="true" ht="15.75" hidden="false" customHeight="false" outlineLevel="0" collapsed="false"/>
    <row r="202" s="93" customFormat="true" ht="15.75" hidden="false" customHeight="false" outlineLevel="0" collapsed="false"/>
    <row r="203" s="93" customFormat="true" ht="15.75" hidden="false" customHeight="false" outlineLevel="0" collapsed="false"/>
    <row r="204" s="93" customFormat="true" ht="15.75" hidden="false" customHeight="false" outlineLevel="0" collapsed="false"/>
    <row r="205" s="93" customFormat="true" ht="15.75" hidden="false" customHeight="false" outlineLevel="0" collapsed="false"/>
    <row r="206" s="93" customFormat="true" ht="15.75" hidden="false" customHeight="false" outlineLevel="0" collapsed="false"/>
    <row r="207" s="93" customFormat="true" ht="15.75" hidden="false" customHeight="false" outlineLevel="0" collapsed="false"/>
    <row r="208" s="93" customFormat="true" ht="15.75" hidden="false" customHeight="false" outlineLevel="0" collapsed="false"/>
    <row r="209" s="93" customFormat="true" ht="15.75" hidden="false" customHeight="false" outlineLevel="0" collapsed="false"/>
    <row r="210" s="93" customFormat="true" ht="15.75" hidden="false" customHeight="false" outlineLevel="0" collapsed="false"/>
    <row r="211" s="93" customFormat="true" ht="15.75" hidden="false" customHeight="false" outlineLevel="0" collapsed="false"/>
    <row r="212" s="93" customFormat="true" ht="15.75" hidden="false" customHeight="false" outlineLevel="0" collapsed="false"/>
    <row r="213" s="93" customFormat="true" ht="15.75" hidden="false" customHeight="false" outlineLevel="0" collapsed="false"/>
    <row r="214" s="93" customFormat="true" ht="15.75" hidden="false" customHeight="false" outlineLevel="0" collapsed="false"/>
    <row r="215" s="93" customFormat="true" ht="15.75" hidden="false" customHeight="false" outlineLevel="0" collapsed="false"/>
    <row r="216" s="93" customFormat="true" ht="15.75" hidden="false" customHeight="false" outlineLevel="0" collapsed="false"/>
    <row r="217" s="93" customFormat="true" ht="15.75" hidden="false" customHeight="false" outlineLevel="0" collapsed="false"/>
    <row r="218" s="93" customFormat="true" ht="15.75" hidden="false" customHeight="false" outlineLevel="0" collapsed="false"/>
    <row r="219" s="93" customFormat="true" ht="15.75" hidden="false" customHeight="false" outlineLevel="0" collapsed="false"/>
    <row r="220" s="93" customFormat="true" ht="15.75" hidden="false" customHeight="false" outlineLevel="0" collapsed="false"/>
    <row r="221" s="93" customFormat="true" ht="15.75" hidden="false" customHeight="false" outlineLevel="0" collapsed="false"/>
    <row r="222" s="93" customFormat="true" ht="15.75" hidden="false" customHeight="false" outlineLevel="0" collapsed="false"/>
    <row r="223" s="93" customFormat="true" ht="15.75" hidden="false" customHeight="false" outlineLevel="0" collapsed="false"/>
    <row r="224" s="93" customFormat="true" ht="15.75" hidden="false" customHeight="false" outlineLevel="0" collapsed="false"/>
    <row r="225" s="93" customFormat="true" ht="15.75" hidden="false" customHeight="false" outlineLevel="0" collapsed="false"/>
    <row r="226" s="93" customFormat="true" ht="15.75" hidden="false" customHeight="false" outlineLevel="0" collapsed="false"/>
    <row r="227" s="93" customFormat="true" ht="15.75" hidden="false" customHeight="false" outlineLevel="0" collapsed="false"/>
    <row r="228" s="93" customFormat="true" ht="15.75" hidden="false" customHeight="false" outlineLevel="0" collapsed="false"/>
    <row r="229" s="93" customFormat="true" ht="15.75" hidden="false" customHeight="false" outlineLevel="0" collapsed="false"/>
    <row r="230" s="93" customFormat="true" ht="15.75" hidden="false" customHeight="false" outlineLevel="0" collapsed="false"/>
    <row r="231" s="93" customFormat="true" ht="15.75" hidden="false" customHeight="false" outlineLevel="0" collapsed="false"/>
    <row r="232" s="93" customFormat="true" ht="15.75" hidden="false" customHeight="false" outlineLevel="0" collapsed="false"/>
    <row r="233" s="93" customFormat="true" ht="15.75" hidden="false" customHeight="false" outlineLevel="0" collapsed="false"/>
    <row r="234" s="93" customFormat="true" ht="15.75" hidden="false" customHeight="false" outlineLevel="0" collapsed="false"/>
    <row r="235" s="93" customFormat="true" ht="15.75" hidden="false" customHeight="false" outlineLevel="0" collapsed="false"/>
    <row r="236" s="93" customFormat="true" ht="15.75" hidden="false" customHeight="false" outlineLevel="0" collapsed="false"/>
    <row r="237" s="93" customFormat="true" ht="15.75" hidden="false" customHeight="false" outlineLevel="0" collapsed="false"/>
    <row r="238" s="93" customFormat="true" ht="15.75" hidden="false" customHeight="false" outlineLevel="0" collapsed="false"/>
    <row r="239" s="93" customFormat="true" ht="15.75" hidden="false" customHeight="false" outlineLevel="0" collapsed="false"/>
    <row r="240" s="93" customFormat="true" ht="15.75" hidden="false" customHeight="false" outlineLevel="0" collapsed="false"/>
    <row r="241" s="93" customFormat="true" ht="15.75" hidden="false" customHeight="false" outlineLevel="0" collapsed="false"/>
    <row r="242" s="93" customFormat="true" ht="15.75" hidden="false" customHeight="false" outlineLevel="0" collapsed="false"/>
  </sheetData>
  <mergeCells count="9">
    <mergeCell ref="A4:A5"/>
    <mergeCell ref="B4:B5"/>
    <mergeCell ref="C4:C5"/>
    <mergeCell ref="D4:D5"/>
    <mergeCell ref="E4:F4"/>
    <mergeCell ref="G4:H4"/>
    <mergeCell ref="I4:I5"/>
    <mergeCell ref="J4:J5"/>
    <mergeCell ref="K4:K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2024-10-21T10:21:12Z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